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<sst xmlns="http://schemas.openxmlformats.org/spreadsheetml/2006/main" count="113" uniqueCount="101">
  <si>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China Mengniu Dairy Company Limited (2319.HK)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</si>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</sst>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-0.03873488624440857</v>
      </c>
    </row>
    <row r="7" spans="1:2" x14ac:dyDescent="0.25">
      <c r="A7" t="s">
        <v>5</v>
      </c>
      <c r="B7" s="6">
        <v>0.07562738116094309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0.03584876673010527</v>
      </c>
    </row>
    <row r="10" spans="1:2" x14ac:dyDescent="0.25">
      <c r="A10" t="s">
        <v>8</v>
      </c>
      <c r="B10" s="6">
        <v>0.04140764668984846</v>
      </c>
    </row>
    <row r="11" spans="1:2" x14ac:dyDescent="0.25">
      <c r="A11" t="s">
        <v>9</v>
      </c>
      <c r="B11" s="6">
        <v>-0.07117111574921664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6.787982741906866</v>
      </c>
    </row>
    <row r="14" spans="1:3" x14ac:dyDescent="0.25">
      <c r="A14" t="s">
        <v>12</v>
      </c>
      <c r="B14" s="6">
        <v>0.07646854276910758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0.51894</v>
      </c>
      <c r="C19" s="8" t="s">
        <v>19</v>
      </c>
    </row>
    <row r="20" spans="1:2" x14ac:dyDescent="0.25">
      <c r="A20" t="s">
        <v>20</v>
      </c>
      <c r="B20" s="10">
        <f>B17+B19*B18</f>
        <v>0.06832579999999999</v>
      </c>
    </row>
    <row r="21" spans="1:3" x14ac:dyDescent="0.25">
      <c r="A21" t="s">
        <v>21</v>
      </c>
      <c r="B21" s="6">
        <v>0.03234441858599256</v>
      </c>
      <c r="C21" s="8" t="s">
        <v>22</v>
      </c>
    </row>
    <row r="22" spans="1:2" x14ac:dyDescent="0.25">
      <c r="A22" t="s">
        <v>23</v>
      </c>
      <c r="B22" s="11">
        <v>68676870144</v>
      </c>
    </row>
    <row r="23" spans="1:2" x14ac:dyDescent="0.25">
      <c r="A23" t="s">
        <v>24</v>
      </c>
      <c r="B23" s="11">
        <v>25388736000</v>
      </c>
    </row>
    <row r="24" spans="1:2" x14ac:dyDescent="0.25">
      <c r="A24" t="s">
        <v>25</v>
      </c>
      <c r="B24" s="10">
        <f>B22/(B22+B23)</f>
        <v>0.7300954403979097</v>
      </c>
    </row>
    <row r="25" spans="1:2" x14ac:dyDescent="0.25">
      <c r="A25" t="s">
        <v>26</v>
      </c>
      <c r="B25" s="10">
        <f>1-B24</f>
        <v>0.26990455960209025</v>
      </c>
    </row>
    <row r="26" spans="1:2" x14ac:dyDescent="0.25">
      <c r="A26" t="s">
        <v>27</v>
      </c>
      <c r="B26" s="12">
        <f>B24*B20+B25*B21*(1-B8)</f>
        <v>0.05717382659666122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82244944000</v>
      </c>
      <c r="C29" s="8" t="s">
        <v>30</v>
      </c>
    </row>
    <row r="30" spans="1:2" x14ac:dyDescent="0.25">
      <c r="A30" t="s">
        <v>31</v>
      </c>
      <c r="B30" s="11">
        <v>645295000</v>
      </c>
    </row>
    <row r="31" spans="1:2" x14ac:dyDescent="0.25">
      <c r="A31" t="s">
        <v>32</v>
      </c>
      <c r="B31" s="13">
        <v>3908180000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-0.03873488624440857</v>
      </c>
      <c r="C5" s="10">
        <f>Assumptions!B6</f>
        <v>-0.03873488624440857</v>
      </c>
      <c r="D5" s="10">
        <f>Assumptions!B6</f>
        <v>-0.03873488624440857</v>
      </c>
      <c r="E5" s="10">
        <f>Assumptions!B6</f>
        <v>-0.03873488624440857</v>
      </c>
      <c r="F5" s="10">
        <f>Assumptions!B6</f>
        <v>-0.03873488624440857</v>
      </c>
    </row>
    <row r="6" spans="1:6" x14ac:dyDescent="0.25">
      <c r="A6" t="s">
        <v>43</v>
      </c>
      <c r="B6" s="18">
        <f>Assumptions!B29*(1+B5)</f>
        <v>79059195449.98225</v>
      </c>
      <c r="C6" s="18">
        <f>B6*(1+C5)</f>
        <v>75996846507.65273</v>
      </c>
      <c r="D6" s="18">
        <f>C6*(1+D5)</f>
        <v>73053117303.24501</v>
      </c>
      <c r="E6" s="18">
        <f>D6*(1+E5)</f>
        <v>70223413114.70438</v>
      </c>
      <c r="F6" s="18">
        <f>E6*(1+F5)</f>
        <v>67503317196.01219</v>
      </c>
    </row>
    <row r="7" spans="1:6" x14ac:dyDescent="0.25">
      <c r="A7" t="s">
        <v>5</v>
      </c>
      <c r="B7" s="10">
        <f>Assumptions!B7</f>
        <v>0.07562738116094309</v>
      </c>
      <c r="C7" s="10">
        <f>Assumptions!B7</f>
        <v>0.07562738116094309</v>
      </c>
      <c r="D7" s="10">
        <f>Assumptions!B7</f>
        <v>0.07562738116094309</v>
      </c>
      <c r="E7" s="10">
        <f>Assumptions!B7</f>
        <v>0.07562738116094309</v>
      </c>
      <c r="F7" s="10">
        <f>Assumptions!B7</f>
        <v>0.07562738116094309</v>
      </c>
    </row>
    <row r="8" spans="1:6" x14ac:dyDescent="0.25">
      <c r="A8" t="s">
        <v>44</v>
      </c>
      <c r="B8" s="18">
        <f>B6*B7</f>
        <v>5979039908.573305</v>
      </c>
      <c r="C8" s="18">
        <f>C6*C7</f>
        <v>5747442477.863939</v>
      </c>
      <c r="D8" s="18">
        <f>D6*D7</f>
        <v>5524815947.287597</v>
      </c>
      <c r="E8" s="18">
        <f>E6*E7</f>
        <v>5310812830.048118</v>
      </c>
      <c r="F8" s="18">
        <f>F6*F7</f>
        <v>5105099099.210858</v>
      </c>
    </row>
    <row r="9" spans="1:6" x14ac:dyDescent="0.25">
      <c r="A9" t="s">
        <v>45</v>
      </c>
      <c r="B9" s="18">
        <f>B8*(1-Assumptions!B8)</f>
        <v>4992498323.65871</v>
      </c>
      <c r="C9" s="18">
        <f>C8*(1-Assumptions!B8)</f>
        <v>4799114469.016389</v>
      </c>
      <c r="D9" s="18">
        <f>D8*(1-Assumptions!B8)</f>
        <v>4613221315.985143</v>
      </c>
      <c r="E9" s="18">
        <f>E8*(1-Assumptions!B8)</f>
        <v>4434528713.0901785</v>
      </c>
      <c r="F9" s="18">
        <f>F8*(1-Assumptions!B8)</f>
        <v>4262757747.8410664</v>
      </c>
    </row>
    <row r="10" spans="1:6" x14ac:dyDescent="0.25">
      <c r="A10" t="s">
        <v>46</v>
      </c>
      <c r="B10" s="18">
        <f>B6*Assumptions!B9</f>
        <v>2834174655.556214</v>
      </c>
      <c r="C10" s="18">
        <f>C6*Assumptions!B9</f>
        <v>2724393222.676458</v>
      </c>
      <c r="D10" s="18">
        <f>D6*Assumptions!B9</f>
        <v>2618864161.1110473</v>
      </c>
      <c r="E10" s="18">
        <f>E6*Assumptions!B9</f>
        <v>2517422755.7408524</v>
      </c>
      <c r="F10" s="18">
        <f>F6*Assumptions!B9</f>
        <v>2419910671.668145</v>
      </c>
    </row>
    <row r="11" spans="1:6" x14ac:dyDescent="0.25">
      <c r="A11" t="s">
        <v>47</v>
      </c>
      <c r="B11" s="18">
        <f>-B6*Assumptions!B10</f>
        <v>-3273655232.7765403</v>
      </c>
      <c r="C11" s="18">
        <f>-C6*Assumptions!B10</f>
        <v>-3146850569.7315283</v>
      </c>
      <c r="D11" s="18">
        <f>-D6*Assumptions!B10</f>
        <v>-3024957670.8848248</v>
      </c>
      <c r="E11" s="18">
        <f>-E6*Assumptions!B10</f>
        <v>-2907786279.6089497</v>
      </c>
      <c r="F11" s="18">
        <f>-F6*Assumptions!B10</f>
        <v>-2795153508.845245</v>
      </c>
    </row>
    <row r="12" spans="1:6" x14ac:dyDescent="0.25">
      <c r="A12" t="s">
        <v>48</v>
      </c>
      <c r="B12" s="18">
        <f>-(B6-Assumptions!B29)*Assumptions!B11</f>
        <v>-226733278.80121207</v>
      </c>
      <c r="C12" s="18">
        <f>-(C6-B6)*Assumptions!B11</f>
        <v>-217950791.03902605</v>
      </c>
      <c r="D12" s="18">
        <f>-(D6-C6)*Assumptions!B11</f>
        <v>-209508491.9412509</v>
      </c>
      <c r="E12" s="18">
        <f>-(E6-D6)*Assumptions!B11</f>
        <v>-201393204.3386686</v>
      </c>
      <c r="F12" s="18">
        <f>-(F6-E6)*Assumptions!B11</f>
        <v>-193592261.47821322</v>
      </c>
    </row>
    <row r="13" spans="1:6" x14ac:dyDescent="0.25">
      <c r="A13" s="19" t="s">
        <v>49</v>
      </c>
      <c r="B13" s="20">
        <f>B9+B10+B11+B12</f>
        <v>4326284467.637171</v>
      </c>
      <c r="C13" s="20">
        <f>C9+C10+C11+C12</f>
        <v>4158706330.9222918</v>
      </c>
      <c r="D13" s="20">
        <f>D9+D10+D11+D12</f>
        <v>3997619314.270114</v>
      </c>
      <c r="E13" s="20">
        <f>E9+E10+E11+E12</f>
        <v>3842771984.8834124</v>
      </c>
      <c r="F13" s="20">
        <f>F9+F10+F11+F12</f>
        <v>3693922649.1857533</v>
      </c>
    </row>
    <row r="14" spans="1:6" x14ac:dyDescent="0.25">
      <c r="A14" t="s">
        <v>50</v>
      </c>
      <c r="B14" s="21">
        <f>1/(1+Assumptions!$B$26)^(1-0.5*Assumptions!$B$32)</f>
        <v>0.972583279141276</v>
      </c>
      <c r="C14" s="21">
        <f>1/(1+Assumptions!$B$26)^(2-0.5*Assumptions!$B$32)</f>
        <v>0.9199842586647213</v>
      </c>
      <c r="D14" s="21">
        <f>1/(1+Assumptions!$B$26)^(3-0.5*Assumptions!$B$32)</f>
        <v>0.8702298860599003</v>
      </c>
      <c r="E14" s="21">
        <f>1/(1+Assumptions!$B$26)^(4-0.5*Assumptions!$B$32)</f>
        <v>0.8231663177487226</v>
      </c>
      <c r="F14" s="21">
        <f>1/(1+Assumptions!$B$26)^(5-0.5*Assumptions!$B$32)</f>
        <v>0.7786480302853559</v>
      </c>
    </row>
    <row r="15" spans="1:6" x14ac:dyDescent="0.25">
      <c r="A15" s="19" t="s">
        <v>51</v>
      </c>
      <c r="B15" s="20">
        <f>B13*B14</f>
        <v>4207671934.032529</v>
      </c>
      <c r="C15" s="20">
        <f>C13*C14</f>
        <v>3825944360.8578277</v>
      </c>
      <c r="D15" s="20">
        <f>D13*D14</f>
        <v>3478847800.368138</v>
      </c>
      <c r="E15" s="20">
        <f>E13*E14</f>
        <v>3163240464.7444286</v>
      </c>
      <c r="F15" s="20">
        <f>F13*F14</f>
        <v>2876265594.8149505</v>
      </c>
    </row>
    <row r="17" spans="1:2" x14ac:dyDescent="0.25">
      <c r="A17" s="22" t="s">
        <v>52</v>
      </c>
      <c r="B17" s="23">
        <f>SUM(B15:F15)</f>
        <v>17551970154.81787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3693922649.1857533</v>
      </c>
    </row>
    <row r="5" spans="1:2" x14ac:dyDescent="0.25">
      <c r="A5" t="s">
        <v>56</v>
      </c>
      <c r="B5" s="18">
        <f>IF(Assumptions!$B$33=0,B4,B4-Forecast!F11-Forecast!F10-Forecast!F12)</f>
        <v>4335630096.78396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0.32693182182752034</v>
      </c>
    </row>
    <row r="7" spans="1:2" x14ac:dyDescent="0.25">
      <c r="A7" t="s">
        <v>58</v>
      </c>
      <c r="B7" s="18">
        <f>-MAX(Forecast!F9,0)*B6</f>
        <v>-1417455446.3118086</v>
      </c>
    </row>
    <row r="8" spans="1:2" x14ac:dyDescent="0.25">
      <c r="A8" t="s">
        <v>59</v>
      </c>
      <c r="B8" s="18">
        <f>IF(OR(Assumptions!$B$33=0,Assumptions!B12&lt;=0),B5,MAX(B5+B7,0))</f>
        <v>2918174650.4721518</v>
      </c>
    </row>
    <row r="9" spans="1:2" x14ac:dyDescent="0.25">
      <c r="A9" t="s">
        <v>60</v>
      </c>
      <c r="B9" s="18">
        <f>B8*(1+Assumptions!B12)/(Assumptions!B26-Assumptions!B12)</f>
        <v>92967773284.52298</v>
      </c>
    </row>
    <row r="10" spans="1:2" x14ac:dyDescent="0.25">
      <c r="A10" t="s">
        <v>61</v>
      </c>
      <c r="B10" s="18">
        <f>B9/(1+Assumptions!B26)^(5-0.5*Assumptions!B32)</f>
        <v>72389173548.00935</v>
      </c>
    </row>
    <row r="11" spans="1:2" x14ac:dyDescent="0.25">
      <c r="A11" t="s">
        <v>62</v>
      </c>
      <c r="B11" s="18">
        <f>Forecast!B17+B10</f>
        <v>89941143702.82722</v>
      </c>
    </row>
    <row r="12" spans="1:2" x14ac:dyDescent="0.25">
      <c r="A12" t="s">
        <v>63</v>
      </c>
      <c r="B12" s="18">
        <f>-Assumptions!B30</f>
        <v>-645295000</v>
      </c>
    </row>
    <row r="13" spans="1:2" x14ac:dyDescent="0.25">
      <c r="A13" t="s">
        <v>64</v>
      </c>
      <c r="B13" s="18">
        <f>B11+B12</f>
        <v>89295848702.82722</v>
      </c>
    </row>
    <row r="14" spans="1:2" x14ac:dyDescent="0.25">
      <c r="A14" s="19" t="s">
        <v>65</v>
      </c>
      <c r="B14" s="24">
        <f>B13/Assumptions!B31</f>
        <v>22.84844830658445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7525009770.879004</v>
      </c>
    </row>
    <row r="18" spans="1:2" x14ac:dyDescent="0.25">
      <c r="A18" t="s">
        <v>60</v>
      </c>
      <c r="B18" s="18">
        <f>B17*Assumptions!B13</f>
        <v>51079636457.40722</v>
      </c>
    </row>
    <row r="19" spans="1:2" x14ac:dyDescent="0.25">
      <c r="A19" t="s">
        <v>61</v>
      </c>
      <c r="B19" s="18">
        <f>B18/(1+Assumptions!B26)^(5-0.5*Assumptions!B32)</f>
        <v>39773058315.25218</v>
      </c>
    </row>
    <row r="20" spans="1:2" x14ac:dyDescent="0.25">
      <c r="A20" t="s">
        <v>62</v>
      </c>
      <c r="B20" s="18">
        <f>Forecast!B17+B19</f>
        <v>57325028470.07005</v>
      </c>
    </row>
    <row r="21" spans="1:2" x14ac:dyDescent="0.25">
      <c r="A21" t="s">
        <v>63</v>
      </c>
      <c r="B21" s="18">
        <f>-Assumptions!B30</f>
        <v>-645295000</v>
      </c>
    </row>
    <row r="22" spans="1:2" x14ac:dyDescent="0.25">
      <c r="A22" t="s">
        <v>64</v>
      </c>
      <c r="B22" s="18">
        <f>B20+B21</f>
        <v>56679733470.07005</v>
      </c>
    </row>
    <row r="23" spans="1:2" x14ac:dyDescent="0.25">
      <c r="A23" s="19" t="s">
        <v>65</v>
      </c>
      <c r="B23" s="25">
        <f>B22/Assumptions!B31</f>
        <v>14.502846202086406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17.77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26.750963277349076</v>
      </c>
    </row>
    <row r="29" spans="1:2" x14ac:dyDescent="0.25">
      <c r="A29" s="19" t="s">
        <v>73</v>
      </c>
      <c r="B29" s="12">
        <f>B28/B26-1</f>
        <v>0.5054002969808147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0.037174</v>
      </c>
      <c r="B5" s="31">
        <v>39.167072567443526</v>
      </c>
      <c r="C5" s="31">
        <v>45.81582424425226</v>
      </c>
      <c r="D5" s="31">
        <v>57.87545241096835</v>
      </c>
      <c r="E5" s="31">
        <v>86.6594707766258</v>
      </c>
      <c r="F5" s="31">
        <v>247.56155596685548</v>
      </c>
    </row>
    <row r="6" spans="1:6" x14ac:dyDescent="0.25">
      <c r="A6" s="30">
        <v>0.047174</v>
      </c>
      <c r="B6" s="31">
        <v>27.28860480826851</v>
      </c>
      <c r="C6" s="31">
        <v>29.41591830617779</v>
      </c>
      <c r="D6" s="31">
        <v>32.47601975907092</v>
      </c>
      <c r="E6" s="31">
        <v>37.283618572139346</v>
      </c>
      <c r="F6" s="31">
        <v>45.991865755948965</v>
      </c>
    </row>
    <row r="7" spans="1:6" x14ac:dyDescent="0.25">
      <c r="A7" s="30">
        <v>0.057174</v>
      </c>
      <c r="B7" s="31">
        <v>21.037256272187808</v>
      </c>
      <c r="C7" s="31">
        <v>21.828594309179707</v>
      </c>
      <c r="D7" s="32">
        <v>22.848333105112307</v>
      </c>
      <c r="E7" s="31">
        <v>24.22254947547506</v>
      </c>
      <c r="F7" s="31">
        <v>26.191036133195382</v>
      </c>
    </row>
    <row r="8" spans="1:6" x14ac:dyDescent="0.25">
      <c r="A8" s="30">
        <v>0.067174</v>
      </c>
      <c r="B8" s="31">
        <v>17.177667722770153</v>
      </c>
      <c r="C8" s="31">
        <v>17.449985119634647</v>
      </c>
      <c r="D8" s="31">
        <v>17.77403554811399</v>
      </c>
      <c r="E8" s="31">
        <v>18.17069369143363</v>
      </c>
      <c r="F8" s="31">
        <v>18.673810352185864</v>
      </c>
    </row>
    <row r="9" spans="1:6" x14ac:dyDescent="0.25">
      <c r="A9" s="30">
        <v>0.077174</v>
      </c>
      <c r="B9" s="31">
        <v>14.579196323934903</v>
      </c>
      <c r="C9" s="31">
        <v>14.630635058753663</v>
      </c>
      <c r="D9" s="31">
        <v>14.682073793572421</v>
      </c>
      <c r="E9" s="31">
        <v>14.733512528391186</v>
      </c>
      <c r="F9" s="31">
        <v>14.784951263209944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82244944000</v>
      </c>
      <c r="C5" s="18">
        <v>88674774000</v>
      </c>
      <c r="D5" s="18">
        <v>98624041000</v>
      </c>
      <c r="E5" s="18">
        <v>92593322000</v>
      </c>
      <c r="F5" s="8" t="s">
        <v>84</v>
      </c>
    </row>
    <row r="6" spans="1:6" x14ac:dyDescent="0.25">
      <c r="A6" t="s">
        <v>44</v>
      </c>
      <c r="B6" s="18">
        <v>6887796000</v>
      </c>
      <c r="C6" s="18">
        <v>7684017000</v>
      </c>
      <c r="D6" s="18">
        <v>6727859000</v>
      </c>
      <c r="E6" s="18">
        <v>5915882000</v>
      </c>
      <c r="F6" s="8" t="s">
        <v>85</v>
      </c>
    </row>
    <row r="7" spans="1:6" x14ac:dyDescent="0.25">
      <c r="A7" t="s">
        <v>86</v>
      </c>
      <c r="B7" s="18">
        <v>3324688000</v>
      </c>
      <c r="C7" s="18">
        <v>3406715000</v>
      </c>
      <c r="D7" s="18">
        <v>3300742000</v>
      </c>
      <c r="E7" s="18">
        <v>2878248000</v>
      </c>
      <c r="F7" s="8" t="s">
        <v>87</v>
      </c>
    </row>
    <row r="8" spans="1:6" x14ac:dyDescent="0.25">
      <c r="A8" t="s">
        <v>88</v>
      </c>
      <c r="B8" s="18">
        <v>2452671000</v>
      </c>
      <c r="C8" s="18">
        <v>3475129000</v>
      </c>
      <c r="D8" s="18">
        <v>4134711000</v>
      </c>
      <c r="E8" s="18">
        <v>5064436000</v>
      </c>
      <c r="F8" s="8" t="s">
        <v>89</v>
      </c>
    </row>
    <row r="9" spans="1:6" x14ac:dyDescent="0.25">
      <c r="A9" t="s">
        <v>90</v>
      </c>
      <c r="B9" s="18">
        <v>-266992000</v>
      </c>
      <c r="C9" s="18">
        <v>888507000</v>
      </c>
      <c r="D9" s="18">
        <v>-429213000</v>
      </c>
      <c r="E9" s="18">
        <v>-932105000</v>
      </c>
      <c r="F9" s="8" t="s">
        <v>91</v>
      </c>
    </row>
    <row r="10" spans="1:6" x14ac:dyDescent="0.25">
      <c r="A10" t="s">
        <v>92</v>
      </c>
      <c r="B10" s="18">
        <v>25388736000</v>
      </c>
      <c r="C10" s="18">
        <v>34637200000</v>
      </c>
      <c r="D10" s="18">
        <v>37410755000</v>
      </c>
      <c r="E10" s="18">
        <v>39108605000</v>
      </c>
      <c r="F10" s="8" t="s">
        <v>93</v>
      </c>
    </row>
    <row r="11" spans="1:6" x14ac:dyDescent="0.25">
      <c r="A11" t="s">
        <v>94</v>
      </c>
      <c r="B11" s="18">
        <v>24743441000</v>
      </c>
      <c r="C11" s="18">
        <v>25478017000</v>
      </c>
      <c r="D11" s="18">
        <v>20975569000</v>
      </c>
      <c r="E11" s="18">
        <v>19593227000</v>
      </c>
      <c r="F11" s="8" t="s">
        <v>95</v>
      </c>
    </row>
    <row r="12" spans="1:6" x14ac:dyDescent="0.25">
      <c r="A12" t="s">
        <v>32</v>
      </c>
      <c r="B12" s="34">
        <v>3908180000</v>
      </c>
      <c r="C12" s="34">
        <v>3929216000</v>
      </c>
      <c r="D12" s="34">
        <v>3956475000</v>
      </c>
      <c r="E12" s="34">
        <v>3969082000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2026-09-19T00:09:59Z</dcterms:modified>
</cp:coreProperties>
</file>