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<sst xmlns="http://schemas.openxmlformats.org/spreadsheetml/2006/main" count="113" uniqueCount="101">
  <si>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Li Ning Company Limited (2331.HK)</t>
  </si>
  <si>
    <t>DCF Studio - Base case</t>
  </si>
  <si>
    <t>Blue figures on a cream fill are inputs. Every other figure is a formula - change an input and the model reprices. Currency figures are CNY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</si>
  <si>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</si>
  <si>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</si>
  <si>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</si>
  <si>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</si>
  <si>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</si>
  <si>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</si>
  <si>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</si>
  <si>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</si>
  <si>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</si>
  <si>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</si>
  <si>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</si>
  <si>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</si>
  <si>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</si>
  <si>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HKD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</si>
  <si>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</si>
  <si>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</si>
  <si>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</si>
  <si>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</si>
  <si>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</si>
  <si>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</si>
  <si>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(CNY m)</t>
  </si>
  <si>
    <t>Total debt (CNY m)</t>
  </si>
  <si>
    <t>Equity weight</t>
  </si>
  <si>
    <t>Debt weight</t>
  </si>
  <si>
    <t>WACC</t>
  </si>
  <si>
    <t>Base year</t>
  </si>
  <si>
    <t>Revenue, last reported year (CNY m)</t>
  </si>
  <si>
    <t>Fiscal year ended 2025-12-31</t>
  </si>
  <si>
    <t>Net debt (CNY m)</t>
  </si>
  <si>
    <t>Diluted shares</t>
  </si>
  <si>
    <t>Mid-year discounting (1 = yes, 0 = no)</t>
  </si>
  <si>
    <t>Terminal year on a steady-state footing (1 = yes, 0 = no)</t>
  </si>
  <si>
    <t>Forecast cashflows (CNY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</si>
  <si>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</si>
  <si>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</si>
  <si>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</si>
  <si>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</si>
  <si>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</si>
  <si>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</si>
  <si>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</si>
  <si>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</si>
  <si>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</si>
  <si>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</si>
  <si>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</si>
  <si>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</si>
  <si>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</si>
  <si>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</si>
  <si>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</si>
  <si>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</si>
  <si>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</si>
  <si>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(CNY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</si>
  <si>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</si>
  <si>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</si>
  <si>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</si>
  <si>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</si>
  <si>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</si>
  <si>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</si>
  <si>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</si>
  <si>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</si>
  <si>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</si>
  <si>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</si>
  <si>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</si>
  <si>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</si>
  <si>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</si>
  <si>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</si>
  <si>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</si>
  <si>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(HKD)</t>
  </si>
  <si>
    <t>Conversion, CNY to HKD</t>
  </si>
  <si>
    <t>CNY/HKD at 1.1708</t>
  </si>
  <si>
    <t>Value per share (HKD)</t>
  </si>
  <si>
    <t>Implied upside</t>
  </si>
  <si>
    <t>Value per share (CNY)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</si>
  <si>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</si>
  <si>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(CNY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</si>
  <si>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</si>
  <si>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</si>
  <si>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</si>
  <si>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</si>
  <si>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</si>
  <si>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</si>
  <si>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</si>
  <si>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</si>
  <si>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</si>
  <si>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</si>
  <si>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</si>
  <si>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</si>
  <si>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</si>
  <si>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</si>
  <si>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</si>
  <si>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</si>
  <si>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</si>
  <si>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</si>
  <si>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</si>
  <si>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</si>
  <si>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</si>
  <si>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CNY, trades in HKD. Modelled in CNY, converted at the end.</t>
  </si>
  <si>
    <t>Note: Risk-free rate is an assumption: HKD assumption - no free live source available for this market.</t>
  </si>
  <si>
    <t>Data: Yahoo Finance. Risk-free rate: HKD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</si>
</sst>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0.04680055752096335</v>
      </c>
    </row>
    <row r="7" spans="1:2" x14ac:dyDescent="0.25">
      <c r="A7" t="s">
        <v>5</v>
      </c>
      <c r="B7" s="6">
        <v>0.14044372682033193</v>
      </c>
    </row>
    <row r="8" spans="1:2" x14ac:dyDescent="0.25">
      <c r="A8" t="s">
        <v>6</v>
      </c>
      <c r="B8" s="6">
        <v>0.165</v>
      </c>
    </row>
    <row r="9" spans="1:2" x14ac:dyDescent="0.25">
      <c r="A9" t="s">
        <v>7</v>
      </c>
      <c r="B9" s="6">
        <v>0.05908369376742455</v>
      </c>
    </row>
    <row r="10" spans="1:2" x14ac:dyDescent="0.25">
      <c r="A10" t="s">
        <v>8</v>
      </c>
      <c r="B10" s="6">
        <v>0.058146100720793945</v>
      </c>
    </row>
    <row r="11" spans="1:2" x14ac:dyDescent="0.25">
      <c r="A11" t="s">
        <v>9</v>
      </c>
      <c r="B11" s="6">
        <v>-0.17592064795930532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3.1416368611217114</v>
      </c>
    </row>
    <row r="14" spans="1:3" x14ac:dyDescent="0.25">
      <c r="A14" t="s">
        <v>12</v>
      </c>
      <c r="B14" s="6">
        <v>0.12035100992021369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0.07</v>
      </c>
    </row>
    <row r="19" spans="1:3" x14ac:dyDescent="0.25">
      <c r="A19" t="s">
        <v>18</v>
      </c>
      <c r="B19" s="9">
        <v>0.9544400000000001</v>
      </c>
      <c r="C19" s="8" t="s">
        <v>19</v>
      </c>
    </row>
    <row r="20" spans="1:2" x14ac:dyDescent="0.25">
      <c r="A20" t="s">
        <v>20</v>
      </c>
      <c r="B20" s="10">
        <f>B17+B19*B18</f>
        <v>0.09881080000000002</v>
      </c>
    </row>
    <row r="21" spans="1:3" x14ac:dyDescent="0.25">
      <c r="A21" t="s">
        <v>21</v>
      </c>
      <c r="B21" s="6">
        <v>0.06456457321703679</v>
      </c>
      <c r="C21" s="8" t="s">
        <v>22</v>
      </c>
    </row>
    <row r="22" spans="1:2" x14ac:dyDescent="0.25">
      <c r="A22" t="s">
        <v>23</v>
      </c>
      <c r="B22" s="11">
        <v>32491108352</v>
      </c>
    </row>
    <row r="23" spans="1:2" x14ac:dyDescent="0.25">
      <c r="A23" t="s">
        <v>24</v>
      </c>
      <c r="B23" s="11">
        <v>2055154000</v>
      </c>
    </row>
    <row r="24" spans="1:2" x14ac:dyDescent="0.25">
      <c r="A24" t="s">
        <v>25</v>
      </c>
      <c r="B24" s="10">
        <f>B22/(B22+B23)</f>
        <v>0.9405100911045151</v>
      </c>
    </row>
    <row r="25" spans="1:2" x14ac:dyDescent="0.25">
      <c r="A25" t="s">
        <v>26</v>
      </c>
      <c r="B25" s="10">
        <f>1-B24</f>
        <v>0.05948990889548489</v>
      </c>
    </row>
    <row r="26" spans="1:2" x14ac:dyDescent="0.25">
      <c r="A26" t="s">
        <v>27</v>
      </c>
      <c r="B26" s="12">
        <f>B24*B20+B25*B21*(1-B8)</f>
        <v>0.09613973989320546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29598417000</v>
      </c>
      <c r="C29" s="8" t="s">
        <v>30</v>
      </c>
    </row>
    <row r="30" spans="1:2" x14ac:dyDescent="0.25">
      <c r="A30" t="s">
        <v>31</v>
      </c>
      <c r="B30" s="11">
        <v>-15753972000</v>
      </c>
    </row>
    <row r="31" spans="1:2" x14ac:dyDescent="0.25">
      <c r="A31" t="s">
        <v>32</v>
      </c>
      <c r="B31" s="13">
        <v>2585919000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0.04680055752096335</v>
      </c>
      <c r="C5" s="10">
        <f>Assumptions!B6</f>
        <v>0.04680055752096335</v>
      </c>
      <c r="D5" s="10">
        <f>Assumptions!B6</f>
        <v>0.04680055752096335</v>
      </c>
      <c r="E5" s="10">
        <f>Assumptions!B6</f>
        <v>0.04680055752096335</v>
      </c>
      <c r="F5" s="10">
        <f>Assumptions!B6</f>
        <v>0.04680055752096335</v>
      </c>
    </row>
    <row r="6" spans="1:6" x14ac:dyDescent="0.25">
      <c r="A6" t="s">
        <v>43</v>
      </c>
      <c r="B6" s="18">
        <f>Assumptions!B29*(1+B5)</f>
        <v>30983639417.33796</v>
      </c>
      <c r="C6" s="18">
        <f>B6*(1+C5)</f>
        <v>32433691016.09787</v>
      </c>
      <c r="D6" s="18">
        <f>C6*(1+D5)</f>
        <v>33951605838.11391</v>
      </c>
      <c r="E6" s="18">
        <f>D6*(1+E5)</f>
        <v>35540559920.06963</v>
      </c>
      <c r="F6" s="18">
        <f>E6*(1+F5)</f>
        <v>37203877938.9361</v>
      </c>
    </row>
    <row r="7" spans="1:6" x14ac:dyDescent="0.25">
      <c r="A7" t="s">
        <v>5</v>
      </c>
      <c r="B7" s="10">
        <f>Assumptions!B7</f>
        <v>0.14044372682033193</v>
      </c>
      <c r="C7" s="10">
        <f>Assumptions!B7</f>
        <v>0.14044372682033193</v>
      </c>
      <c r="D7" s="10">
        <f>Assumptions!B7</f>
        <v>0.14044372682033193</v>
      </c>
      <c r="E7" s="10">
        <f>Assumptions!B7</f>
        <v>0.14044372682033193</v>
      </c>
      <c r="F7" s="10">
        <f>Assumptions!B7</f>
        <v>0.14044372682033193</v>
      </c>
    </row>
    <row r="8" spans="1:6" x14ac:dyDescent="0.25">
      <c r="A8" t="s">
        <v>44</v>
      </c>
      <c r="B8" s="18">
        <f>B6*B7</f>
        <v>4351457790.228281</v>
      </c>
      <c r="C8" s="18">
        <f>C6*C7</f>
        <v>4555108440.839903</v>
      </c>
      <c r="D8" s="18">
        <f>D6*D7</f>
        <v>4768290055.439657</v>
      </c>
      <c r="E8" s="18">
        <f>E6*E7</f>
        <v>4991448688.455897</v>
      </c>
      <c r="F8" s="18">
        <f>F6*F7</f>
        <v>5225051269.912915</v>
      </c>
    </row>
    <row r="9" spans="1:6" x14ac:dyDescent="0.25">
      <c r="A9" t="s">
        <v>45</v>
      </c>
      <c r="B9" s="18">
        <f>B8*(1-Assumptions!B8)</f>
        <v>3633467254.8406143</v>
      </c>
      <c r="C9" s="18">
        <f>C8*(1-Assumptions!B8)</f>
        <v>3803515548.101319</v>
      </c>
      <c r="D9" s="18">
        <f>D8*(1-Assumptions!B8)</f>
        <v>3981522196.292114</v>
      </c>
      <c r="E9" s="18">
        <f>E8*(1-Assumptions!B8)</f>
        <v>4167859654.860674</v>
      </c>
      <c r="F9" s="18">
        <f>F8*(1-Assumptions!B8)</f>
        <v>4362917810.377284</v>
      </c>
    </row>
    <row r="10" spans="1:6" x14ac:dyDescent="0.25">
      <c r="A10" t="s">
        <v>46</v>
      </c>
      <c r="B10" s="18">
        <f>B6*Assumptions!B9</f>
        <v>1830627863.1343002</v>
      </c>
      <c r="C10" s="18">
        <f>C6*Assumptions!B9</f>
        <v>1916302267.7423952</v>
      </c>
      <c r="D10" s="18">
        <f>D6*Assumptions!B9</f>
        <v>2005986282.2514257</v>
      </c>
      <c r="E10" s="18">
        <f>E6*Assumptions!B9</f>
        <v>2099867558.6401968</v>
      </c>
      <c r="F10" s="18">
        <f>F6*Assumptions!B9</f>
        <v>2198142531.104742</v>
      </c>
    </row>
    <row r="11" spans="1:6" x14ac:dyDescent="0.25">
      <c r="A11" t="s">
        <v>47</v>
      </c>
      <c r="B11" s="18">
        <f>-B6*Assumptions!B10</f>
        <v>-1801577818.2572944</v>
      </c>
      <c r="C11" s="18">
        <f>-C6*Assumptions!B10</f>
        <v>-1885892664.5691364</v>
      </c>
      <c r="D11" s="18">
        <f>-D6*Assumptions!B10</f>
        <v>-1974153492.6956673</v>
      </c>
      <c r="E11" s="18">
        <f>-E6*Assumptions!B10</f>
        <v>-2066544976.7857814</v>
      </c>
      <c r="F11" s="18">
        <f>-F6*Assumptions!B10</f>
        <v>-2163260433.841502</v>
      </c>
    </row>
    <row r="12" spans="1:6" x14ac:dyDescent="0.25">
      <c r="A12" t="s">
        <v>48</v>
      </c>
      <c r="B12" s="18">
        <f>-(B6-Assumptions!B29)*Assumptions!B11</f>
        <v>243689225.22584903</v>
      </c>
      <c r="C12" s="18">
        <f>-(C6-B6)*Assumptions!B11</f>
        <v>255094016.82827008</v>
      </c>
      <c r="D12" s="18">
        <f>-(D6-C6)*Assumptions!B11</f>
        <v>267032559.0360955</v>
      </c>
      <c r="E12" s="18">
        <f>-(E6-D6)*Assumptions!B11</f>
        <v>279529831.6752339</v>
      </c>
      <c r="F12" s="18">
        <f>-(F6-E6)*Assumptions!B11</f>
        <v>292611983.64137614</v>
      </c>
    </row>
    <row r="13" spans="1:6" x14ac:dyDescent="0.25">
      <c r="A13" s="19" t="s">
        <v>49</v>
      </c>
      <c r="B13" s="20">
        <f>B9+B10+B11+B12</f>
        <v>3906206524.943469</v>
      </c>
      <c r="C13" s="20">
        <f>C9+C10+C11+C12</f>
        <v>4089019168.102847</v>
      </c>
      <c r="D13" s="20">
        <f>D9+D10+D11+D12</f>
        <v>4280387544.8839674</v>
      </c>
      <c r="E13" s="20">
        <f>E9+E10+E11+E12</f>
        <v>4480712068.390324</v>
      </c>
      <c r="F13" s="20">
        <f>F9+F10+F11+F12</f>
        <v>4690411891.2819</v>
      </c>
    </row>
    <row r="14" spans="1:6" x14ac:dyDescent="0.25">
      <c r="A14" t="s">
        <v>50</v>
      </c>
      <c r="B14" s="21">
        <f>1/(1+Assumptions!$B$26)^(1-0.5*Assumptions!$B$32)</f>
        <v>0.9551400116876247</v>
      </c>
      <c r="C14" s="21">
        <f>1/(1+Assumptions!$B$26)^(2-0.5*Assumptions!$B$32)</f>
        <v>0.871367013644339</v>
      </c>
      <c r="D14" s="21">
        <f>1/(1+Assumptions!$B$26)^(3-0.5*Assumptions!$B$32)</f>
        <v>0.7949415406919144</v>
      </c>
      <c r="E14" s="21">
        <f>1/(1+Assumptions!$B$26)^(4-0.5*Assumptions!$B$32)</f>
        <v>0.725219159346749</v>
      </c>
      <c r="F14" s="21">
        <f>1/(1+Assumptions!$B$26)^(5-0.5*Assumptions!$B$32)</f>
        <v>0.6616119578124278</v>
      </c>
    </row>
    <row r="15" spans="1:6" x14ac:dyDescent="0.25">
      <c r="A15" s="19" t="s">
        <v>51</v>
      </c>
      <c r="B15" s="20">
        <f>B13*B14</f>
        <v>3730974145.888781</v>
      </c>
      <c r="C15" s="20">
        <f>C13*C14</f>
        <v>3563036421.2442374</v>
      </c>
      <c r="D15" s="20">
        <f>D13*D14</f>
        <v>3402657869.688542</v>
      </c>
      <c r="E15" s="20">
        <f>E13*E14</f>
        <v>3249498239.512863</v>
      </c>
      <c r="F15" s="20">
        <f>F13*F14</f>
        <v>3103232594.3377104</v>
      </c>
    </row>
    <row r="17" spans="1:2" x14ac:dyDescent="0.25">
      <c r="A17" s="22" t="s">
        <v>52</v>
      </c>
      <c r="B17" s="23">
        <f>SUM(B15:F15)</f>
        <v>17049399270.672134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4690411891.2819</v>
      </c>
    </row>
    <row r="5" spans="1:2" x14ac:dyDescent="0.25">
      <c r="A5" t="s">
        <v>56</v>
      </c>
      <c r="B5" s="18">
        <f>IF(Assumptions!$B$33=0,B4,B4-Forecast!F11-Forecast!F10-Forecast!F12)</f>
        <v>4428603943.767559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0.20772571843454965</v>
      </c>
    </row>
    <row r="7" spans="1:2" x14ac:dyDescent="0.25">
      <c r="A7" t="s">
        <v>58</v>
      </c>
      <c r="B7" s="18">
        <f>-MAX(Forecast!F9,0)*B6</f>
        <v>-919934935.8811961</v>
      </c>
    </row>
    <row r="8" spans="1:2" x14ac:dyDescent="0.25">
      <c r="A8" t="s">
        <v>59</v>
      </c>
      <c r="B8" s="18">
        <f>IF(OR(Assumptions!$B$33=0,Assumptions!B12&lt;=0),B5,MAX(B5+B7,0))</f>
        <v>3508669007.886363</v>
      </c>
    </row>
    <row r="9" spans="1:2" x14ac:dyDescent="0.25">
      <c r="A9" t="s">
        <v>60</v>
      </c>
      <c r="B9" s="18">
        <f>B8*(1+Assumptions!B12)/(Assumptions!B26-Assumptions!B12)</f>
        <v>50553821794.7155</v>
      </c>
    </row>
    <row r="10" spans="1:2" x14ac:dyDescent="0.25">
      <c r="A10" t="s">
        <v>61</v>
      </c>
      <c r="B10" s="18">
        <f>B9/(1+Assumptions!B26)^(5-0.5*Assumptions!B32)</f>
        <v>33447013012.502304</v>
      </c>
    </row>
    <row r="11" spans="1:2" x14ac:dyDescent="0.25">
      <c r="A11" t="s">
        <v>62</v>
      </c>
      <c r="B11" s="18">
        <f>Forecast!B17+B10</f>
        <v>50496412283.17444</v>
      </c>
    </row>
    <row r="12" spans="1:2" x14ac:dyDescent="0.25">
      <c r="A12" t="s">
        <v>63</v>
      </c>
      <c r="B12" s="18">
        <f>-Assumptions!B30</f>
        <v>15753972000</v>
      </c>
    </row>
    <row r="13" spans="1:2" x14ac:dyDescent="0.25">
      <c r="A13" t="s">
        <v>64</v>
      </c>
      <c r="B13" s="18">
        <f>B11+B12</f>
        <v>66250384283.17444</v>
      </c>
    </row>
    <row r="14" spans="1:2" x14ac:dyDescent="0.25">
      <c r="A14" s="19" t="s">
        <v>65</v>
      </c>
      <c r="B14" s="24">
        <f>B13/Assumptions!B31</f>
        <v>25.619667237517664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7423193801.017657</v>
      </c>
    </row>
    <row r="18" spans="1:2" x14ac:dyDescent="0.25">
      <c r="A18" t="s">
        <v>60</v>
      </c>
      <c r="B18" s="18">
        <f>B17*Assumptions!B13</f>
        <v>23320979272.52726</v>
      </c>
    </row>
    <row r="19" spans="1:2" x14ac:dyDescent="0.25">
      <c r="A19" t="s">
        <v>61</v>
      </c>
      <c r="B19" s="18">
        <f>B18/(1+Assumptions!B26)^(5-0.5*Assumptions!B32)</f>
        <v>15429438754.599808</v>
      </c>
    </row>
    <row r="20" spans="1:2" x14ac:dyDescent="0.25">
      <c r="A20" t="s">
        <v>62</v>
      </c>
      <c r="B20" s="18">
        <f>Forecast!B17+B19</f>
        <v>32478838025.271942</v>
      </c>
    </row>
    <row r="21" spans="1:2" x14ac:dyDescent="0.25">
      <c r="A21" t="s">
        <v>63</v>
      </c>
      <c r="B21" s="18">
        <f>-Assumptions!B30</f>
        <v>15753972000</v>
      </c>
    </row>
    <row r="22" spans="1:2" x14ac:dyDescent="0.25">
      <c r="A22" t="s">
        <v>64</v>
      </c>
      <c r="B22" s="18">
        <f>B20+B21</f>
        <v>48232810025.27194</v>
      </c>
    </row>
    <row r="23" spans="1:2" x14ac:dyDescent="0.25">
      <c r="A23" s="19" t="s">
        <v>65</v>
      </c>
      <c r="B23" s="25">
        <f>B22/Assumptions!B31</f>
        <v>18.65209622779056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12.57</v>
      </c>
    </row>
    <row r="27" spans="1:3" x14ac:dyDescent="0.25">
      <c r="A27" t="s">
        <v>70</v>
      </c>
      <c r="B27" s="27">
        <v>1.1708</v>
      </c>
      <c r="C27" s="8" t="s">
        <v>71</v>
      </c>
    </row>
    <row r="28" spans="1:2" x14ac:dyDescent="0.25">
      <c r="A28" t="s">
        <v>72</v>
      </c>
      <c r="B28" s="28">
        <f>B14*B27</f>
        <v>29.99550640168568</v>
      </c>
    </row>
    <row r="29" spans="1:2" x14ac:dyDescent="0.25">
      <c r="A29" s="19" t="s">
        <v>73</v>
      </c>
      <c r="B29" s="12">
        <f>B28/B26-1</f>
        <v>1.386277358924875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0.07614</v>
      </c>
      <c r="B5" s="31">
        <v>30.87505986031556</v>
      </c>
      <c r="C5" s="31">
        <v>31.635065974562472</v>
      </c>
      <c r="D5" s="31">
        <v>32.53368489303733</v>
      </c>
      <c r="E5" s="31">
        <v>33.615979295918294</v>
      </c>
      <c r="F5" s="31">
        <v>34.94891885423332</v>
      </c>
    </row>
    <row r="6" spans="1:6" x14ac:dyDescent="0.25">
      <c r="A6" s="30">
        <v>0.08614</v>
      </c>
      <c r="B6" s="31">
        <v>27.580172909814433</v>
      </c>
      <c r="C6" s="31">
        <v>28.01662830312098</v>
      </c>
      <c r="D6" s="31">
        <v>28.5164464834613</v>
      </c>
      <c r="E6" s="31">
        <v>29.096557301307566</v>
      </c>
      <c r="F6" s="31">
        <v>29.78051158893565</v>
      </c>
    </row>
    <row r="7" spans="1:6" x14ac:dyDescent="0.25">
      <c r="A7" s="30">
        <v>0.09614</v>
      </c>
      <c r="B7" s="31">
        <v>25.092607952905173</v>
      </c>
      <c r="C7" s="31">
        <v>25.34189292876504</v>
      </c>
      <c r="D7" s="32">
        <v>25.61960236758154</v>
      </c>
      <c r="E7" s="31">
        <v>25.932182700324585</v>
      </c>
      <c r="F7" s="31">
        <v>26.288189102147868</v>
      </c>
    </row>
    <row r="8" spans="1:6" x14ac:dyDescent="0.25">
      <c r="A8" s="30">
        <v>0.10614</v>
      </c>
      <c r="B8" s="31">
        <v>23.146872592336845</v>
      </c>
      <c r="C8" s="31">
        <v>23.28253999283358</v>
      </c>
      <c r="D8" s="31">
        <v>23.429358369740704</v>
      </c>
      <c r="E8" s="31">
        <v>23.58952452692158</v>
      </c>
      <c r="F8" s="31">
        <v>23.765852868426045</v>
      </c>
    </row>
    <row r="9" spans="1:6" x14ac:dyDescent="0.25">
      <c r="A9" s="30">
        <v>0.11614</v>
      </c>
      <c r="B9" s="31">
        <v>21.582459167502233</v>
      </c>
      <c r="C9" s="31">
        <v>21.646829694048133</v>
      </c>
      <c r="D9" s="31">
        <v>21.713501699558822</v>
      </c>
      <c r="E9" s="31">
        <v>21.782875952370414</v>
      </c>
      <c r="F9" s="31">
        <v>21.85545200522524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29598417000</v>
      </c>
      <c r="C5" s="18">
        <v>28675643000</v>
      </c>
      <c r="D5" s="18">
        <v>27598491000</v>
      </c>
      <c r="E5" s="18">
        <v>25803383000</v>
      </c>
      <c r="F5" s="8" t="s">
        <v>84</v>
      </c>
    </row>
    <row r="6" spans="1:6" x14ac:dyDescent="0.25">
      <c r="A6" t="s">
        <v>44</v>
      </c>
      <c r="B6" s="18">
        <v>3951439000</v>
      </c>
      <c r="C6" s="18">
        <v>3791308000</v>
      </c>
      <c r="D6" s="18">
        <v>3376465000</v>
      </c>
      <c r="E6" s="18">
        <v>4482494000</v>
      </c>
      <c r="F6" s="8" t="s">
        <v>85</v>
      </c>
    </row>
    <row r="7" spans="1:6" x14ac:dyDescent="0.25">
      <c r="A7" t="s">
        <v>86</v>
      </c>
      <c r="B7" s="18">
        <v>1376082000</v>
      </c>
      <c r="C7" s="18">
        <v>1857567000</v>
      </c>
      <c r="D7" s="18">
        <v>1896658000</v>
      </c>
      <c r="E7" s="18">
        <v>1453794000</v>
      </c>
      <c r="F7" s="8" t="s">
        <v>87</v>
      </c>
    </row>
    <row r="8" spans="1:6" x14ac:dyDescent="0.25">
      <c r="A8" t="s">
        <v>88</v>
      </c>
      <c r="B8" s="18">
        <v>1286271000</v>
      </c>
      <c r="C8" s="18">
        <v>1503039000</v>
      </c>
      <c r="D8" s="18">
        <v>1815274000</v>
      </c>
      <c r="E8" s="18">
        <v>1830425000</v>
      </c>
      <c r="F8" s="8" t="s">
        <v>89</v>
      </c>
    </row>
    <row r="9" spans="1:6" x14ac:dyDescent="0.25">
      <c r="A9" t="s">
        <v>90</v>
      </c>
      <c r="B9" s="18">
        <v>-162335000</v>
      </c>
      <c r="C9" s="18">
        <v>-421964000</v>
      </c>
      <c r="D9" s="18">
        <v>31047000</v>
      </c>
      <c r="E9" s="18">
        <v>1133216000</v>
      </c>
      <c r="F9" s="8" t="s">
        <v>91</v>
      </c>
    </row>
    <row r="10" spans="1:6" x14ac:dyDescent="0.25">
      <c r="A10" t="s">
        <v>92</v>
      </c>
      <c r="B10" s="18">
        <v>2055154000</v>
      </c>
      <c r="C10" s="18">
        <v>1936137000</v>
      </c>
      <c r="D10" s="18">
        <v>2541953000</v>
      </c>
      <c r="E10" s="18">
        <v>2141667000</v>
      </c>
      <c r="F10" s="8" t="s">
        <v>93</v>
      </c>
    </row>
    <row r="11" spans="1:6" x14ac:dyDescent="0.25">
      <c r="A11" t="s">
        <v>94</v>
      </c>
      <c r="B11" s="18">
        <v>17809126000</v>
      </c>
      <c r="C11" s="18">
        <v>15762957000</v>
      </c>
      <c r="D11" s="18">
        <v>8937570000</v>
      </c>
      <c r="E11" s="18">
        <v>8025542000</v>
      </c>
      <c r="F11" s="8" t="s">
        <v>95</v>
      </c>
    </row>
    <row r="12" spans="1:6" x14ac:dyDescent="0.25">
      <c r="A12" t="s">
        <v>32</v>
      </c>
      <c r="B12" s="34">
        <v>2585919000</v>
      </c>
      <c r="C12" s="34">
        <v>2585675000</v>
      </c>
      <c r="D12" s="34">
        <v>2598132000</v>
      </c>
      <c r="E12" s="34">
        <v>2633080000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2026-09-19T00:10:00Z</dcterms:modified>
</cp:coreProperties>
</file>