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<sst xmlns="http://schemas.openxmlformats.org/spreadsheetml/2006/main" count="115" uniqueCount="103">
  <si>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WuXi AppTec Co., Ltd. (2359.HK)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</si>
  <si>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</si>
  <si>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</si>
  <si>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</si>
  <si>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</si>
  <si>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</si>
  <si>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</si>
  <si>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</si>
  <si>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</si>
  <si>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</si>
  <si>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</si>
  <si>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</si>
  <si>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</si>
  <si>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</si>
  <si>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</si>
  <si>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</si>
  <si>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</si>
  <si>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</si>
  <si>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</si>
  <si>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</si>
  <si>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</si>
  <si>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</si>
  <si>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</si>
  <si>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</si>
  <si>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</si>
  <si>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</si>
  <si>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</si>
  <si>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</si>
  <si>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</si>
  <si>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</si>
  <si>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</si>
  <si>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</si>
  <si>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</si>
  <si>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</si>
  <si>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</si>
  <si>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</si>
  <si>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</si>
  <si>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</si>
  <si>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</si>
  <si>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</si>
  <si>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</si>
  <si>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</si>
  <si>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</si>
  <si>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</si>
  <si>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</si>
  <si>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</si>
  <si>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</si>
  <si>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</si>
  <si>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</si>
  <si>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</si>
  <si>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</si>
  <si>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</si>
  <si>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</si>
  <si>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</si>
  <si>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</si>
  <si>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</si>
  <si>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</si>
  <si>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</si>
  <si>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</si>
  <si>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</si>
  <si>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</si>
  <si>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</si>
  <si>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</si>
  <si>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</si>
  <si>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</si>
  <si>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</si>
  <si>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</si>
  <si>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</si>
  <si>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</si>
  <si>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</si>
  <si>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</si>
  <si>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</si>
  <si>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</si>
  <si>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</si>
  <si>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</si>
  <si>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</si>
  <si>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</si>
  <si>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</si>
  <si>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</si>
  <si>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</si>
  <si>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</si>
  <si>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</si>
  <si>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</si>
  <si>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</si>
  <si>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</si>
  <si>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</si>
  <si>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</si>
  <si>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</si>
  <si>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</si>
  <si>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</si>
  <si>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</si>
  <si>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</si>
  <si>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</si>
  <si>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</si>
  <si>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</si>
  <si>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</si>
  <si>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</si>
  <si>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</si>
  <si>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</si>
  <si>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15.3% of revenue against depreciation of 6.2%.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</si>
  <si>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</si>
  <si>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28.0x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</si>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</sst>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0.04921650030784397</v>
      </c>
    </row>
    <row r="7" spans="1:2" x14ac:dyDescent="0.25">
      <c r="A7" t="s">
        <v>5</v>
      </c>
      <c r="B7" s="6">
        <v>0.3023483555251785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0.06173992258642029</v>
      </c>
    </row>
    <row r="10" spans="1:2" x14ac:dyDescent="0.25">
      <c r="A10" t="s">
        <v>8</v>
      </c>
      <c r="B10" s="6">
        <v>0.15345820045260766</v>
      </c>
    </row>
    <row r="11" spans="1:2" x14ac:dyDescent="0.25">
      <c r="A11" t="s">
        <v>9</v>
      </c>
      <c r="B11" s="6">
        <v>-0.12970182889653545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0.16054186233406115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0.6589700000000001</v>
      </c>
      <c r="C19" s="8" t="s">
        <v>19</v>
      </c>
    </row>
    <row r="20" spans="1:2" x14ac:dyDescent="0.25">
      <c r="A20" t="s">
        <v>20</v>
      </c>
      <c r="B20" s="10">
        <f>B17+B19*B18</f>
        <v>0.0781279</v>
      </c>
    </row>
    <row r="21" spans="1:3" x14ac:dyDescent="0.25">
      <c r="A21" t="s">
        <v>21</v>
      </c>
      <c r="B21" s="6">
        <v>0.045646386206515885</v>
      </c>
      <c r="C21" s="8" t="s">
        <v>22</v>
      </c>
    </row>
    <row r="22" spans="1:2" x14ac:dyDescent="0.25">
      <c r="A22" t="s">
        <v>23</v>
      </c>
      <c r="B22" s="11">
        <v>606351654912</v>
      </c>
    </row>
    <row r="23" spans="1:2" x14ac:dyDescent="0.25">
      <c r="A23" t="s">
        <v>24</v>
      </c>
      <c r="B23" s="11">
        <v>8420113174.81</v>
      </c>
    </row>
    <row r="24" spans="1:2" x14ac:dyDescent="0.25">
      <c r="A24" t="s">
        <v>25</v>
      </c>
      <c r="B24" s="10">
        <f>B22/(B22+B23)</f>
        <v>0.9863036762390477</v>
      </c>
    </row>
    <row r="25" spans="1:2" x14ac:dyDescent="0.25">
      <c r="A25" t="s">
        <v>26</v>
      </c>
      <c r="B25" s="10">
        <f>1-B24</f>
        <v>0.013696323760952311</v>
      </c>
    </row>
    <row r="26" spans="1:2" x14ac:dyDescent="0.25">
      <c r="A26" t="s">
        <v>27</v>
      </c>
      <c r="B26" s="12">
        <f>B24*B20+B25*B21*(1-B8)</f>
        <v>0.07757986670297828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45456165774.18</v>
      </c>
      <c r="C29" s="8" t="s">
        <v>30</v>
      </c>
    </row>
    <row r="30" spans="1:2" x14ac:dyDescent="0.25">
      <c r="A30" t="s">
        <v>31</v>
      </c>
      <c r="B30" s="11">
        <v>-32517408275.079998</v>
      </c>
    </row>
    <row r="31" spans="1:2" x14ac:dyDescent="0.25">
      <c r="A31" t="s">
        <v>32</v>
      </c>
      <c r="B31" s="13">
        <v>2897213676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0.04921650030784397</v>
      </c>
      <c r="C5" s="10">
        <f>Assumptions!B6</f>
        <v>0.04921650030784397</v>
      </c>
      <c r="D5" s="10">
        <f>Assumptions!B6</f>
        <v>0.04921650030784397</v>
      </c>
      <c r="E5" s="10">
        <f>Assumptions!B6</f>
        <v>0.04921650030784397</v>
      </c>
      <c r="F5" s="10">
        <f>Assumptions!B6</f>
        <v>0.04921650030784397</v>
      </c>
    </row>
    <row r="6" spans="1:6" x14ac:dyDescent="0.25">
      <c r="A6" t="s">
        <v>43</v>
      </c>
      <c r="B6" s="18">
        <f>Assumptions!B29*(1+B5)</f>
        <v>47693359170.99834</v>
      </c>
      <c r="C6" s="18">
        <f>B6*(1+C5)</f>
        <v>50040659397.31989</v>
      </c>
      <c r="D6" s="18">
        <f>C6*(1+D5)</f>
        <v>52503485525.952805</v>
      </c>
      <c r="E6" s="18">
        <f>D6*(1+E5)</f>
        <v>55087523337.50374</v>
      </c>
      <c r="F6" s="18">
        <f>E6*(1+F5)</f>
        <v>57798738446.80235</v>
      </c>
    </row>
    <row r="7" spans="1:6" x14ac:dyDescent="0.25">
      <c r="A7" t="s">
        <v>5</v>
      </c>
      <c r="B7" s="10">
        <f>Assumptions!B7</f>
        <v>0.3023483555251785</v>
      </c>
      <c r="C7" s="10">
        <f>Assumptions!B7</f>
        <v>0.3023483555251785</v>
      </c>
      <c r="D7" s="10">
        <f>Assumptions!B7</f>
        <v>0.3023483555251785</v>
      </c>
      <c r="E7" s="10">
        <f>Assumptions!B7</f>
        <v>0.3023483555251785</v>
      </c>
      <c r="F7" s="10">
        <f>Assumptions!B7</f>
        <v>0.3023483555251785</v>
      </c>
    </row>
    <row r="8" spans="1:6" x14ac:dyDescent="0.25">
      <c r="A8" t="s">
        <v>44</v>
      </c>
      <c r="B8" s="18">
        <f>B6*B7</f>
        <v>14420008714.823038</v>
      </c>
      <c r="C8" s="18">
        <f>C6*C7</f>
        <v>15129711078.175241</v>
      </c>
      <c r="D8" s="18">
        <f>D6*D7</f>
        <v>15874342508.111843</v>
      </c>
      <c r="E8" s="18">
        <f>E6*E7</f>
        <v>16655622091.049149</v>
      </c>
      <c r="F8" s="18">
        <f>F6*F7</f>
        <v>17475353520.820602</v>
      </c>
    </row>
    <row r="9" spans="1:6" x14ac:dyDescent="0.25">
      <c r="A9" t="s">
        <v>45</v>
      </c>
      <c r="B9" s="18">
        <f>B8*(1-Assumptions!B8)</f>
        <v>12040707276.877235</v>
      </c>
      <c r="C9" s="18">
        <f>C8*(1-Assumptions!B8)</f>
        <v>12633308750.276325</v>
      </c>
      <c r="D9" s="18">
        <f>D8*(1-Assumptions!B8)</f>
        <v>13255075994.273388</v>
      </c>
      <c r="E9" s="18">
        <f>E8*(1-Assumptions!B8)</f>
        <v>13907444446.02604</v>
      </c>
      <c r="F9" s="18">
        <f>F8*(1-Assumptions!B8)</f>
        <v>14591920189.885202</v>
      </c>
    </row>
    <row r="10" spans="1:6" x14ac:dyDescent="0.25">
      <c r="A10" t="s">
        <v>46</v>
      </c>
      <c r="B10" s="18">
        <f>B6*Assumptions!B9</f>
        <v>2944584303.1037755</v>
      </c>
      <c r="C10" s="18">
        <f>C6*Assumptions!B9</f>
        <v>3089506437.363955</v>
      </c>
      <c r="D10" s="18">
        <f>D6*Assumptions!B9</f>
        <v>3241561131.8895645</v>
      </c>
      <c r="E10" s="18">
        <f>E6*Assumptions!B9</f>
        <v>3401099426.335102</v>
      </c>
      <c r="F10" s="18">
        <f>F6*Assumptions!B9</f>
        <v>3568489637.2983313</v>
      </c>
    </row>
    <row r="11" spans="1:6" x14ac:dyDescent="0.25">
      <c r="A11" t="s">
        <v>47</v>
      </c>
      <c r="B11" s="18">
        <f>-B6*Assumptions!B10</f>
        <v>-7318937071.921277</v>
      </c>
      <c r="C11" s="18">
        <f>-C6*Assumptions!B10</f>
        <v>-7679149540.574581</v>
      </c>
      <c r="D11" s="18">
        <f>-D6*Assumptions!B10</f>
        <v>-8057090406.302251</v>
      </c>
      <c r="E11" s="18">
        <f>-E6*Assumptions!B10</f>
        <v>-8453632198.764351</v>
      </c>
      <c r="F11" s="18">
        <f>-F6*Assumptions!B10</f>
        <v>-8869690390.477236</v>
      </c>
    </row>
    <row r="12" spans="1:6" x14ac:dyDescent="0.25">
      <c r="A12" t="s">
        <v>48</v>
      </c>
      <c r="B12" s="18">
        <f>-(B6-Assumptions!B29)*Assumptions!B11</f>
        <v>290168075.1625908</v>
      </c>
      <c r="C12" s="18">
        <f>-(C6-B6)*Assumptions!B11</f>
        <v>304449132.3231574</v>
      </c>
      <c r="D12" s="18">
        <f>-(D6-C6)*Assumptions!B11</f>
        <v>319433053.13786274</v>
      </c>
      <c r="E12" s="18">
        <f>-(E6-D6)*Assumptions!B11</f>
        <v>335154430.09595716</v>
      </c>
      <c r="F12" s="18">
        <f>-(F6-E6)*Assumptions!B11</f>
        <v>351649558.20795053</v>
      </c>
    </row>
    <row r="13" spans="1:6" x14ac:dyDescent="0.25">
      <c r="A13" s="19" t="s">
        <v>49</v>
      </c>
      <c r="B13" s="20">
        <f>B9+B10+B11+B12</f>
        <v>7956522583.222324</v>
      </c>
      <c r="C13" s="20">
        <f>C9+C10+C11+C12</f>
        <v>8348114779.388856</v>
      </c>
      <c r="D13" s="20">
        <f>D9+D10+D11+D12</f>
        <v>8758979772.998564</v>
      </c>
      <c r="E13" s="20">
        <f>E9+E10+E11+E12</f>
        <v>9190066103.692747</v>
      </c>
      <c r="F13" s="20">
        <f>F9+F10+F11+F12</f>
        <v>9642368994.914248</v>
      </c>
    </row>
    <row r="14" spans="1:6" x14ac:dyDescent="0.25">
      <c r="A14" t="s">
        <v>50</v>
      </c>
      <c r="B14" s="21">
        <f>1/(1+Assumptions!$B$26)^(1-0.5*Assumptions!$B$32)</f>
        <v>0.963330400280915</v>
      </c>
      <c r="C14" s="21">
        <f>1/(1+Assumptions!$B$26)^(2-0.5*Assumptions!$B$32)</f>
        <v>0.8939758713461982</v>
      </c>
      <c r="D14" s="21">
        <f>1/(1+Assumptions!$B$26)^(3-0.5*Assumptions!$B$32)</f>
        <v>0.8296144898117437</v>
      </c>
      <c r="E14" s="21">
        <f>1/(1+Assumptions!$B$26)^(4-0.5*Assumptions!$B$32)</f>
        <v>0.7698867763278437</v>
      </c>
      <c r="F14" s="21">
        <f>1/(1+Assumptions!$B$26)^(5-0.5*Assumptions!$B$32)</f>
        <v>0.7144591320951745</v>
      </c>
    </row>
    <row r="15" spans="1:6" x14ac:dyDescent="0.25">
      <c r="A15" s="19" t="s">
        <v>51</v>
      </c>
      <c r="B15" s="20">
        <f>B13*B14</f>
        <v>7664760084.939701</v>
      </c>
      <c r="C15" s="20">
        <f>C13*C14</f>
        <v>7463013184.002227</v>
      </c>
      <c r="D15" s="20">
        <f>D13*D14</f>
        <v>7266576535.647586</v>
      </c>
      <c r="E15" s="20">
        <f>E13*E14</f>
        <v>7075310366.811796</v>
      </c>
      <c r="F15" s="20">
        <f>F13*F14</f>
        <v>6889078583.447854</v>
      </c>
    </row>
    <row r="17" spans="1:2" x14ac:dyDescent="0.25">
      <c r="A17" s="22" t="s">
        <v>52</v>
      </c>
      <c r="B17" s="23">
        <f>SUM(B15:F15)</f>
        <v>36358738754.84917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9642368994.914248</v>
      </c>
    </row>
    <row r="5" spans="1:2" x14ac:dyDescent="0.25">
      <c r="A5" t="s">
        <v>56</v>
      </c>
      <c r="B5" s="18">
        <f>IF(Assumptions!$B$33=0,B4,B4-Forecast!F11-Forecast!F10-Forecast!F12)</f>
        <v>14768959400.84248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0.1557226235981935</v>
      </c>
    </row>
    <row r="7" spans="1:2" x14ac:dyDescent="0.25">
      <c r="A7" t="s">
        <v>58</v>
      </c>
      <c r="B7" s="18">
        <f>-MAX(Forecast!F9,0)*B6</f>
        <v>-2299861105.714395</v>
      </c>
    </row>
    <row r="8" spans="1:2" x14ac:dyDescent="0.25">
      <c r="A8" t="s">
        <v>59</v>
      </c>
      <c r="B8" s="18">
        <f>IF(OR(Assumptions!$B$33=0,Assumptions!B12&lt;=0),B5,MAX(B5+B7,0))</f>
        <v>12469098295.128084</v>
      </c>
    </row>
    <row r="9" spans="1:2" x14ac:dyDescent="0.25">
      <c r="A9" t="s">
        <v>60</v>
      </c>
      <c r="B9" s="18">
        <f>B8*(1+Assumptions!B12)/(Assumptions!B26-Assumptions!B12)</f>
        <v>243074517946.28342</v>
      </c>
    </row>
    <row r="10" spans="1:2" x14ac:dyDescent="0.25">
      <c r="A10" t="s">
        <v>61</v>
      </c>
      <c r="B10" s="18">
        <f>B9/(1+Assumptions!B26)^(5-0.5*Assumptions!B32)</f>
        <v>173666809126.35458</v>
      </c>
    </row>
    <row r="11" spans="1:2" x14ac:dyDescent="0.25">
      <c r="A11" t="s">
        <v>62</v>
      </c>
      <c r="B11" s="18">
        <f>Forecast!B17+B10</f>
        <v>210025547881.20374</v>
      </c>
    </row>
    <row r="12" spans="1:2" x14ac:dyDescent="0.25">
      <c r="A12" t="s">
        <v>63</v>
      </c>
      <c r="B12" s="18">
        <f>-Assumptions!B30</f>
        <v>32517408275.079987</v>
      </c>
    </row>
    <row r="13" spans="1:2" x14ac:dyDescent="0.25">
      <c r="A13" t="s">
        <v>64</v>
      </c>
      <c r="B13" s="18">
        <f>B11+B12</f>
        <v>242542956156.28372</v>
      </c>
    </row>
    <row r="14" spans="1:2" x14ac:dyDescent="0.25">
      <c r="A14" s="19" t="s">
        <v>65</v>
      </c>
      <c r="B14" s="24">
        <f>B13/Assumptions!B31</f>
        <v>83.71593651012564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21043843158.118935</v>
      </c>
    </row>
    <row r="18" spans="1:2" x14ac:dyDescent="0.25">
      <c r="A18" t="s">
        <v>60</v>
      </c>
      <c r="B18" s="18">
        <f>B17*Assumptions!B13</f>
        <v>420876863162.37866</v>
      </c>
    </row>
    <row r="19" spans="1:2" x14ac:dyDescent="0.25">
      <c r="A19" t="s">
        <v>61</v>
      </c>
      <c r="B19" s="18">
        <f>B18/(1+Assumptions!B26)^(5-0.5*Assumptions!B32)</f>
        <v>300699318373.9326</v>
      </c>
    </row>
    <row r="20" spans="1:2" x14ac:dyDescent="0.25">
      <c r="A20" t="s">
        <v>62</v>
      </c>
      <c r="B20" s="18">
        <f>Forecast!B17+B19</f>
        <v>337058057128.7818</v>
      </c>
    </row>
    <row r="21" spans="1:2" x14ac:dyDescent="0.25">
      <c r="A21" t="s">
        <v>63</v>
      </c>
      <c r="B21" s="18">
        <f>-Assumptions!B30</f>
        <v>32517408275.080017</v>
      </c>
    </row>
    <row r="22" spans="1:2" x14ac:dyDescent="0.25">
      <c r="A22" t="s">
        <v>64</v>
      </c>
      <c r="B22" s="18">
        <f>B20+B21</f>
        <v>369575465403.8618</v>
      </c>
    </row>
    <row r="23" spans="1:2" x14ac:dyDescent="0.25">
      <c r="A23" s="19" t="s">
        <v>65</v>
      </c>
      <c r="B23" s="25">
        <f>B22/Assumptions!B31</f>
        <v>127.5623777650088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200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98.01461846605511</v>
      </c>
    </row>
    <row r="29" spans="1:2" x14ac:dyDescent="0.25">
      <c r="A29" s="19" t="s">
        <v>73</v>
      </c>
      <c r="B29" s="12">
        <f>B28/B26-1</f>
        <v>-0.5099269076697244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0.05758</v>
      </c>
      <c r="B5" s="31">
        <v>109.99526453910204</v>
      </c>
      <c r="C5" s="31">
        <v>118.51653400215208</v>
      </c>
      <c r="D5" s="31">
        <v>129.61541610037048</v>
      </c>
      <c r="E5" s="31">
        <v>144.6938031298967</v>
      </c>
      <c r="F5" s="31">
        <v>166.39529889806536</v>
      </c>
    </row>
    <row r="6" spans="1:6" x14ac:dyDescent="0.25">
      <c r="A6" s="30">
        <v>0.06758</v>
      </c>
      <c r="B6" s="31">
        <v>90.53189665754998</v>
      </c>
      <c r="C6" s="31">
        <v>95.34274196409979</v>
      </c>
      <c r="D6" s="31">
        <v>101.25564340096612</v>
      </c>
      <c r="E6" s="31">
        <v>108.71048500100554</v>
      </c>
      <c r="F6" s="31">
        <v>118.41718396641556</v>
      </c>
    </row>
    <row r="7" spans="1:6" x14ac:dyDescent="0.25">
      <c r="A7" s="30">
        <v>0.07758</v>
      </c>
      <c r="B7" s="31">
        <v>77.32534894812444</v>
      </c>
      <c r="C7" s="31">
        <v>80.25294056369124</v>
      </c>
      <c r="D7" s="32">
        <v>83.71574738244425</v>
      </c>
      <c r="E7" s="31">
        <v>87.88250055292903</v>
      </c>
      <c r="F7" s="31">
        <v>93.00118493367009</v>
      </c>
    </row>
    <row r="8" spans="1:6" x14ac:dyDescent="0.25">
      <c r="A8" s="30">
        <v>0.08758</v>
      </c>
      <c r="B8" s="31">
        <v>67.78760130627344</v>
      </c>
      <c r="C8" s="31">
        <v>69.65675721104625</v>
      </c>
      <c r="D8" s="31">
        <v>71.80720812992935</v>
      </c>
      <c r="E8" s="31">
        <v>74.31223341706747</v>
      </c>
      <c r="F8" s="31">
        <v>77.27298589718151</v>
      </c>
    </row>
    <row r="9" spans="1:6" x14ac:dyDescent="0.25">
      <c r="A9" s="30">
        <v>0.09758</v>
      </c>
      <c r="B9" s="31">
        <v>60.5843235793217</v>
      </c>
      <c r="C9" s="31">
        <v>61.815104995709696</v>
      </c>
      <c r="D9" s="31">
        <v>63.20107521350299</v>
      </c>
      <c r="E9" s="31">
        <v>64.77667980862766</v>
      </c>
      <c r="F9" s="31">
        <v>66.58737285043443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45456165774.18</v>
      </c>
      <c r="C5" s="18">
        <v>39241431359.88</v>
      </c>
      <c r="D5" s="18">
        <v>40340806877.04</v>
      </c>
      <c r="E5" s="18">
        <v>39354777805.53</v>
      </c>
      <c r="F5" s="8" t="s">
        <v>84</v>
      </c>
    </row>
    <row r="6" spans="1:6" x14ac:dyDescent="0.25">
      <c r="A6" t="s">
        <v>44</v>
      </c>
      <c r="B6" s="18">
        <v>17004940671</v>
      </c>
      <c r="C6" s="18">
        <v>11612271185.71</v>
      </c>
      <c r="D6" s="18">
        <v>11766489186.44</v>
      </c>
      <c r="E6" s="18">
        <v>9748270052.24</v>
      </c>
      <c r="F6" s="8" t="s">
        <v>85</v>
      </c>
    </row>
    <row r="7" spans="1:6" x14ac:dyDescent="0.25">
      <c r="A7" t="s">
        <v>86</v>
      </c>
      <c r="B7" s="18">
        <v>3473881768.32</v>
      </c>
      <c r="C7" s="18">
        <v>2782176203.25</v>
      </c>
      <c r="D7" s="18">
        <v>2283570739.63</v>
      </c>
      <c r="E7" s="18">
        <v>1693479388.73</v>
      </c>
      <c r="F7" s="8" t="s">
        <v>87</v>
      </c>
    </row>
    <row r="8" spans="1:6" x14ac:dyDescent="0.25">
      <c r="A8" t="s">
        <v>88</v>
      </c>
      <c r="B8" s="18">
        <v>5538150829.94</v>
      </c>
      <c r="C8" s="18">
        <v>4003492547.65</v>
      </c>
      <c r="D8" s="18">
        <v>5516558842.19</v>
      </c>
      <c r="E8" s="18">
        <v>9965688255.65</v>
      </c>
      <c r="F8" s="8" t="s">
        <v>89</v>
      </c>
    </row>
    <row r="9" spans="1:6" x14ac:dyDescent="0.25">
      <c r="A9" t="s">
        <v>90</v>
      </c>
      <c r="B9" s="18">
        <v>291879659.4</v>
      </c>
      <c r="C9" s="18">
        <v>970376052.79</v>
      </c>
      <c r="D9" s="18">
        <v>-127889773.92</v>
      </c>
      <c r="E9" s="18">
        <v>252937137.58</v>
      </c>
      <c r="F9" s="8" t="s">
        <v>91</v>
      </c>
    </row>
    <row r="10" spans="1:6" x14ac:dyDescent="0.25">
      <c r="A10" t="s">
        <v>92</v>
      </c>
      <c r="B10" s="18">
        <v>8420113174.81</v>
      </c>
      <c r="C10" s="18">
        <v>5008856122.49</v>
      </c>
      <c r="D10" s="18">
        <v>5747665888.81</v>
      </c>
      <c r="E10" s="18">
        <v>5866441572.45</v>
      </c>
      <c r="F10" s="8" t="s">
        <v>93</v>
      </c>
    </row>
    <row r="11" spans="1:6" x14ac:dyDescent="0.25">
      <c r="A11" t="s">
        <v>94</v>
      </c>
      <c r="B11" s="18">
        <v>40937521449.89</v>
      </c>
      <c r="C11" s="18">
        <v>19556018031.26</v>
      </c>
      <c r="D11" s="18">
        <v>13775061853.17</v>
      </c>
      <c r="E11" s="18">
        <v>7987741393.85</v>
      </c>
      <c r="F11" s="8" t="s">
        <v>95</v>
      </c>
    </row>
    <row r="12" spans="1:6" x14ac:dyDescent="0.25">
      <c r="A12" t="s">
        <v>32</v>
      </c>
      <c r="B12" s="34">
        <v>2897213676</v>
      </c>
      <c r="C12" s="34">
        <v>2898867616</v>
      </c>
      <c r="D12" s="34">
        <v>2965046029</v>
      </c>
      <c r="E12" s="34">
        <v>3125430154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