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<sst xmlns="http://schemas.openxmlformats.org/spreadsheetml/2006/main" count="114" uniqueCount="102">
  <si>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Sunny Optical Technology (Group) Company Limited (2382.HK)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</si>
  <si>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</si>
  <si>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</si>
  <si>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</si>
  <si>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</si>
  <si>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</si>
  <si>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</si>
  <si>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</si>
  <si>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</si>
  <si>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</si>
  <si>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</si>
  <si>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</si>
  <si>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</si>
  <si>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</si>
  <si>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</si>
  <si>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</si>
  <si>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</si>
  <si>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</si>
  <si>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</si>
  <si>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</si>
  <si>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</si>
  <si>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</si>
  <si>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</si>
  <si>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</si>
  <si>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</si>
  <si>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</si>
  <si>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</si>
  <si>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</si>
  <si>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</si>
  <si>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</si>
  <si>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</si>
  <si>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</si>
  <si>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</si>
  <si>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</si>
  <si>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</si>
  <si>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</si>
  <si>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</si>
  <si>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</si>
  <si>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</si>
  <si>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</si>
  <si>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</si>
  <si>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</si>
  <si>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</si>
  <si>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</si>
  <si>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</si>
  <si>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</si>
  <si>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</si>
  <si>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</si>
  <si>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</si>
  <si>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</si>
  <si>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</si>
  <si>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</si>
  <si>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</si>
  <si>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</si>
  <si>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</si>
  <si>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</si>
  <si>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</si>
  <si>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</si>
  <si>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</si>
  <si>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</si>
  <si>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</si>
  <si>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</si>
  <si>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</si>
  <si>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</si>
  <si>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</si>
  <si>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</si>
  <si>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</si>
  <si>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</si>
  <si>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</si>
  <si>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</si>
  <si>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</si>
  <si>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</si>
  <si>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</si>
  <si>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</si>
  <si>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</si>
  <si>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</si>
  <si>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</si>
  <si>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</si>
  <si>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</si>
  <si>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</si>
  <si>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</si>
  <si>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</si>
  <si>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</si>
  <si>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</si>
  <si>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</si>
  <si>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</si>
  <si>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</si>
  <si>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</si>
  <si>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</si>
  <si>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</si>
  <si>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</si>
  <si>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</si>
  <si>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</si>
  <si>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</si>
  <si>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</si>
  <si>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</si>
  <si>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</si>
  <si>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</si>
  <si>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Reports in CNY, trades in HKD. Modelled in CNY, converted at the end.</t>
  </si>
  <si>
    <t>Adjusted: Capital expenditure runs at 7.5% of revenue against depreciation of 5.9%.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</si>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</sst>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0.09200882209807149</v>
      </c>
    </row>
    <row r="7" spans="1:2" x14ac:dyDescent="0.25">
      <c r="A7" t="s">
        <v>5</v>
      </c>
      <c r="B7" s="6">
        <v>0.06540893214634959</v>
      </c>
    </row>
    <row r="8" spans="1:2" x14ac:dyDescent="0.25">
      <c r="A8" t="s">
        <v>6</v>
      </c>
      <c r="B8" s="6">
        <v>0.11451523063357731</v>
      </c>
    </row>
    <row r="9" spans="1:2" x14ac:dyDescent="0.25">
      <c r="A9" t="s">
        <v>7</v>
      </c>
      <c r="B9" s="6">
        <v>0.05923623450180565</v>
      </c>
    </row>
    <row r="10" spans="1:2" x14ac:dyDescent="0.25">
      <c r="A10" t="s">
        <v>8</v>
      </c>
      <c r="B10" s="6">
        <v>0.07478713786283828</v>
      </c>
    </row>
    <row r="11" spans="1:2" x14ac:dyDescent="0.25">
      <c r="A11" t="s">
        <v>9</v>
      </c>
      <c r="B11" s="6">
        <v>0.0849700129796834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9.009012528147323</v>
      </c>
    </row>
    <row r="14" spans="1:3" x14ac:dyDescent="0.25">
      <c r="A14" t="s">
        <v>12</v>
      </c>
      <c r="B14" s="6">
        <v>0.10518283253308615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1.09849</v>
      </c>
      <c r="C19" s="8" t="s">
        <v>19</v>
      </c>
    </row>
    <row r="20" spans="1:2" x14ac:dyDescent="0.25">
      <c r="A20" t="s">
        <v>20</v>
      </c>
      <c r="B20" s="10">
        <f>B17+B19*B18</f>
        <v>0.1088943</v>
      </c>
    </row>
    <row r="21" spans="1:3" x14ac:dyDescent="0.25">
      <c r="A21" t="s">
        <v>21</v>
      </c>
      <c r="B21" s="6">
        <v>0.0704387008977749</v>
      </c>
      <c r="C21" s="8" t="s">
        <v>22</v>
      </c>
    </row>
    <row r="22" spans="1:2" x14ac:dyDescent="0.25">
      <c r="A22" t="s">
        <v>23</v>
      </c>
      <c r="B22" s="11">
        <v>72023425024</v>
      </c>
    </row>
    <row r="23" spans="1:2" x14ac:dyDescent="0.25">
      <c r="A23" t="s">
        <v>24</v>
      </c>
      <c r="B23" s="11">
        <v>6244099000</v>
      </c>
    </row>
    <row r="24" spans="1:2" x14ac:dyDescent="0.25">
      <c r="A24" t="s">
        <v>25</v>
      </c>
      <c r="B24" s="10">
        <f>B22/(B22+B23)</f>
        <v>0.9202210740934477</v>
      </c>
    </row>
    <row r="25" spans="1:2" x14ac:dyDescent="0.25">
      <c r="A25" t="s">
        <v>26</v>
      </c>
      <c r="B25" s="10">
        <f>1-B24</f>
        <v>0.07977892590655233</v>
      </c>
    </row>
    <row r="26" spans="1:2" x14ac:dyDescent="0.25">
      <c r="A26" t="s">
        <v>27</v>
      </c>
      <c r="B26" s="12">
        <f>B24*B20+B25*B21*(1-B8)</f>
        <v>0.10518283253308615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43229126000</v>
      </c>
      <c r="C29" s="8" t="s">
        <v>30</v>
      </c>
    </row>
    <row r="30" spans="1:2" x14ac:dyDescent="0.25">
      <c r="A30" t="s">
        <v>31</v>
      </c>
      <c r="B30" s="11">
        <v>-16771962000</v>
      </c>
    </row>
    <row r="31" spans="1:2" x14ac:dyDescent="0.25">
      <c r="A31" t="s">
        <v>32</v>
      </c>
      <c r="B31" s="13">
        <v>1090014800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0.09200882209807149</v>
      </c>
      <c r="C5" s="10">
        <f>Assumptions!B6</f>
        <v>0.09200882209807149</v>
      </c>
      <c r="D5" s="10">
        <f>Assumptions!B6</f>
        <v>0.09200882209807149</v>
      </c>
      <c r="E5" s="10">
        <f>Assumptions!B6</f>
        <v>0.09200882209807149</v>
      </c>
      <c r="F5" s="10">
        <f>Assumptions!B6</f>
        <v>0.09200882209807149</v>
      </c>
    </row>
    <row r="6" spans="1:6" x14ac:dyDescent="0.25">
      <c r="A6" t="s">
        <v>43</v>
      </c>
      <c r="B6" s="18">
        <f>Assumptions!B29*(1+B5)</f>
        <v>47206586963.58912</v>
      </c>
      <c r="C6" s="18">
        <f>B6*(1+C5)</f>
        <v>51550009425.37913</v>
      </c>
      <c r="D6" s="18">
        <f>C6*(1+D5)</f>
        <v>56293065071.75275</v>
      </c>
      <c r="E6" s="18">
        <f>D6*(1+E5)</f>
        <v>61472523681.29481</v>
      </c>
      <c r="F6" s="18">
        <f>E6*(1+F5)</f>
        <v>67128538176.606544</v>
      </c>
    </row>
    <row r="7" spans="1:6" x14ac:dyDescent="0.25">
      <c r="A7" t="s">
        <v>5</v>
      </c>
      <c r="B7" s="10">
        <f>Assumptions!B7</f>
        <v>0.06540893214634959</v>
      </c>
      <c r="C7" s="10">
        <f>Assumptions!B7</f>
        <v>0.06540893214634959</v>
      </c>
      <c r="D7" s="10">
        <f>Assumptions!B7</f>
        <v>0.06540893214634959</v>
      </c>
      <c r="E7" s="10">
        <f>Assumptions!B7</f>
        <v>0.06540893214634959</v>
      </c>
      <c r="F7" s="10">
        <f>Assumptions!B7</f>
        <v>0.06540893214634959</v>
      </c>
    </row>
    <row r="8" spans="1:6" x14ac:dyDescent="0.25">
      <c r="A8" t="s">
        <v>44</v>
      </c>
      <c r="B8" s="18">
        <f>B6*B7</f>
        <v>3087732443.562152</v>
      </c>
      <c r="C8" s="18">
        <f>C6*C7</f>
        <v>3371831068.648305</v>
      </c>
      <c r="D8" s="18">
        <f>D6*D7</f>
        <v>3682069273.5883174</v>
      </c>
      <c r="E8" s="18">
        <f>E6*E7</f>
        <v>4020852130.33468</v>
      </c>
      <c r="F8" s="18">
        <f>F6*F7</f>
        <v>4390805998.677296</v>
      </c>
    </row>
    <row r="9" spans="1:6" x14ac:dyDescent="0.25">
      <c r="A9" t="s">
        <v>45</v>
      </c>
      <c r="B9" s="18">
        <f>B8*(1-Assumptions!B8)</f>
        <v>2734140050.652853</v>
      </c>
      <c r="C9" s="18">
        <f>C8*(1-Assumptions!B8)</f>
        <v>2985705056.164583</v>
      </c>
      <c r="D9" s="18">
        <f>D8*(1-Assumptions!B8)</f>
        <v>3260416261.514543</v>
      </c>
      <c r="E9" s="18">
        <f>E8*(1-Assumptions!B8)</f>
        <v>3560403321.285894</v>
      </c>
      <c r="F9" s="18">
        <f>F8*(1-Assumptions!B8)</f>
        <v>3887991837.0714707</v>
      </c>
    </row>
    <row r="10" spans="1:6" x14ac:dyDescent="0.25">
      <c r="A10" t="s">
        <v>46</v>
      </c>
      <c r="B10" s="18">
        <f>B6*Assumptions!B9</f>
        <v>2796340455.4050465</v>
      </c>
      <c r="C10" s="18">
        <f>C6*Assumptions!B9</f>
        <v>3053628446.89205</v>
      </c>
      <c r="D10" s="18">
        <f>D6*Assumptions!B9</f>
        <v>3334589203.4157505</v>
      </c>
      <c r="E10" s="18">
        <f>E6*Assumptions!B9</f>
        <v>3641400828.2029805</v>
      </c>
      <c r="F10" s="18">
        <f>F6*Assumptions!B9</f>
        <v>3976441829.1928782</v>
      </c>
    </row>
    <row r="11" spans="1:6" x14ac:dyDescent="0.25">
      <c r="A11" t="s">
        <v>47</v>
      </c>
      <c r="B11" s="18">
        <f>-B6*Assumptions!B10</f>
        <v>-3530445527.2800035</v>
      </c>
      <c r="C11" s="18">
        <f>-C6*Assumptions!B10</f>
        <v>-3855277661.7264414</v>
      </c>
      <c r="D11" s="18">
        <f>-D6*Assumptions!B10</f>
        <v>-4209997218.242899</v>
      </c>
      <c r="E11" s="18">
        <f>-E6*Assumptions!B10</f>
        <v>-4597354103.329585</v>
      </c>
      <c r="F11" s="18">
        <f>-F6*Assumptions!B10</f>
        <v>-5020351239.144676</v>
      </c>
    </row>
    <row r="12" spans="1:6" x14ac:dyDescent="0.25">
      <c r="A12" t="s">
        <v>48</v>
      </c>
      <c r="B12" s="18">
        <f>-(B6-Assumptions!B29)*Assumptions!B11</f>
        <v>-337964909.7023515</v>
      </c>
      <c r="C12" s="18">
        <f>-(C6-B6)*Assumptions!B11</f>
        <v>-369060662.95454544</v>
      </c>
      <c r="D12" s="18">
        <f>-(D6-C6)*Assumptions!B11</f>
        <v>-403017499.83572704</v>
      </c>
      <c r="E12" s="18">
        <f>-(E6-D6)*Assumptions!B11</f>
        <v>-440098665.28052187</v>
      </c>
      <c r="F12" s="18">
        <f>-(F6-E6)*Assumptions!B11</f>
        <v>-480591625.07991576</v>
      </c>
    </row>
    <row r="13" spans="1:6" x14ac:dyDescent="0.25">
      <c r="A13" s="19" t="s">
        <v>49</v>
      </c>
      <c r="B13" s="20">
        <f>B9+B10+B11+B12</f>
        <v>1662070069.0755444</v>
      </c>
      <c r="C13" s="20">
        <f>C9+C10+C11+C12</f>
        <v>1814995178.375646</v>
      </c>
      <c r="D13" s="20">
        <f>D9+D10+D11+D12</f>
        <v>1981990746.8516681</v>
      </c>
      <c r="E13" s="20">
        <f>E9+E10+E11+E12</f>
        <v>2164351380.8787675</v>
      </c>
      <c r="F13" s="20">
        <f>F9+F10+F11+F12</f>
        <v>2363490802.039757</v>
      </c>
    </row>
    <row r="14" spans="1:6" x14ac:dyDescent="0.25">
      <c r="A14" t="s">
        <v>50</v>
      </c>
      <c r="B14" s="21">
        <f>1/(1+Assumptions!$B$26)^(1-0.5*Assumptions!$B$32)</f>
        <v>0.9512242971078954</v>
      </c>
      <c r="C14" s="21">
        <f>1/(1+Assumptions!$B$26)^(2-0.5*Assumptions!$B$32)</f>
        <v>0.8606940581294438</v>
      </c>
      <c r="D14" s="21">
        <f>1/(1+Assumptions!$B$26)^(3-0.5*Assumptions!$B$32)</f>
        <v>0.7787797935267665</v>
      </c>
      <c r="E14" s="21">
        <f>1/(1+Assumptions!$B$26)^(4-0.5*Assumptions!$B$32)</f>
        <v>0.7046615008865078</v>
      </c>
      <c r="F14" s="21">
        <f>1/(1+Assumptions!$B$26)^(5-0.5*Assumptions!$B$32)</f>
        <v>0.6375972193410019</v>
      </c>
    </row>
    <row r="15" spans="1:6" x14ac:dyDescent="0.25">
      <c r="A15" s="19" t="s">
        <v>51</v>
      </c>
      <c r="B15" s="20">
        <f>B13*B14</f>
        <v>1581001433.2004557</v>
      </c>
      <c r="C15" s="20">
        <f>C13*C14</f>
        <v>1562155565.5615084</v>
      </c>
      <c r="D15" s="20">
        <f>D13*D14</f>
        <v>1543534344.605104</v>
      </c>
      <c r="E15" s="20">
        <f>E13*E14</f>
        <v>1525135092.495818</v>
      </c>
      <c r="F15" s="20">
        <f>F13*F14</f>
        <v>1506955163.3185833</v>
      </c>
    </row>
    <row r="17" spans="1:2" x14ac:dyDescent="0.25">
      <c r="A17" s="22" t="s">
        <v>52</v>
      </c>
      <c r="B17" s="23">
        <f>SUM(B15:F15)</f>
        <v>7718781599.181469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2363490802.039757</v>
      </c>
    </row>
    <row r="5" spans="1:2" x14ac:dyDescent="0.25">
      <c r="A5" t="s">
        <v>56</v>
      </c>
      <c r="B5" s="18">
        <f>IF(Assumptions!$B$33=0,B4,B4-Forecast!F11-Forecast!F10-Forecast!F12)</f>
        <v>3987617819.9028053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0.23768137250093585</v>
      </c>
    </row>
    <row r="7" spans="1:2" x14ac:dyDescent="0.25">
      <c r="A7" t="s">
        <v>58</v>
      </c>
      <c r="B7" s="18">
        <f>-MAX(Forecast!F9,0)*B6</f>
        <v>-947782476.4436884</v>
      </c>
    </row>
    <row r="8" spans="1:2" x14ac:dyDescent="0.25">
      <c r="A8" t="s">
        <v>59</v>
      </c>
      <c r="B8" s="18">
        <f>IF(OR(Assumptions!$B$33=0,Assumptions!B12&lt;=0),B5,MAX(B5+B7,0))</f>
        <v>3039835343.459117</v>
      </c>
    </row>
    <row r="9" spans="1:2" x14ac:dyDescent="0.25">
      <c r="A9" t="s">
        <v>60</v>
      </c>
      <c r="B9" s="18">
        <f>B8*(1+Assumptions!B12)/(Assumptions!B26-Assumptions!B12)</f>
        <v>38859081534.19122</v>
      </c>
    </row>
    <row r="10" spans="1:2" x14ac:dyDescent="0.25">
      <c r="A10" t="s">
        <v>61</v>
      </c>
      <c r="B10" s="18">
        <f>B9/(1+Assumptions!B26)^(5-0.5*Assumptions!B32)</f>
        <v>24776442332.345596</v>
      </c>
    </row>
    <row r="11" spans="1:2" x14ac:dyDescent="0.25">
      <c r="A11" t="s">
        <v>62</v>
      </c>
      <c r="B11" s="18">
        <f>Forecast!B17+B10</f>
        <v>32495223931.527065</v>
      </c>
    </row>
    <row r="12" spans="1:2" x14ac:dyDescent="0.25">
      <c r="A12" t="s">
        <v>63</v>
      </c>
      <c r="B12" s="18">
        <f>-Assumptions!B30</f>
        <v>16771962000.000004</v>
      </c>
    </row>
    <row r="13" spans="1:2" x14ac:dyDescent="0.25">
      <c r="A13" t="s">
        <v>64</v>
      </c>
      <c r="B13" s="18">
        <f>B11+B12</f>
        <v>49267185931.52707</v>
      </c>
    </row>
    <row r="14" spans="1:2" x14ac:dyDescent="0.25">
      <c r="A14" s="19" t="s">
        <v>65</v>
      </c>
      <c r="B14" s="24">
        <f>B13/Assumptions!B31</f>
        <v>45.198639441892965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8367247827.870174</v>
      </c>
    </row>
    <row r="18" spans="1:2" x14ac:dyDescent="0.25">
      <c r="A18" t="s">
        <v>60</v>
      </c>
      <c r="B18" s="18">
        <f>B17*Assumptions!B13</f>
        <v>75380640507.39587</v>
      </c>
    </row>
    <row r="19" spans="1:2" x14ac:dyDescent="0.25">
      <c r="A19" t="s">
        <v>61</v>
      </c>
      <c r="B19" s="18">
        <f>B18/(1+Assumptions!B26)^(5-0.5*Assumptions!B32)</f>
        <v>48062486779.6593</v>
      </c>
    </row>
    <row r="20" spans="1:2" x14ac:dyDescent="0.25">
      <c r="A20" t="s">
        <v>62</v>
      </c>
      <c r="B20" s="18">
        <f>Forecast!B17+B19</f>
        <v>55781268378.840775</v>
      </c>
    </row>
    <row r="21" spans="1:2" x14ac:dyDescent="0.25">
      <c r="A21" t="s">
        <v>63</v>
      </c>
      <c r="B21" s="18">
        <f>-Assumptions!B30</f>
        <v>16771962000</v>
      </c>
    </row>
    <row r="22" spans="1:2" x14ac:dyDescent="0.25">
      <c r="A22" t="s">
        <v>64</v>
      </c>
      <c r="B22" s="18">
        <f>B20+B21</f>
        <v>72553230378.84077</v>
      </c>
    </row>
    <row r="23" spans="1:2" x14ac:dyDescent="0.25">
      <c r="A23" s="19" t="s">
        <v>65</v>
      </c>
      <c r="B23" s="25">
        <f>B22/Assumptions!B31</f>
        <v>66.56169290439064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67.05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52.918567058568286</v>
      </c>
    </row>
    <row r="29" spans="1:2" x14ac:dyDescent="0.25">
      <c r="A29" s="19" t="s">
        <v>73</v>
      </c>
      <c r="B29" s="12">
        <f>B28/B26-1</f>
        <v>-0.21075962627042077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0.085183</v>
      </c>
      <c r="B5" s="31">
        <v>52.9721452241469</v>
      </c>
      <c r="C5" s="31">
        <v>53.12078491351255</v>
      </c>
      <c r="D5" s="31">
        <v>53.26942460287818</v>
      </c>
      <c r="E5" s="31">
        <v>53.41806429224382</v>
      </c>
      <c r="F5" s="31">
        <v>53.566703981609464</v>
      </c>
    </row>
    <row r="6" spans="1:6" x14ac:dyDescent="0.25">
      <c r="A6" s="30">
        <v>0.095183</v>
      </c>
      <c r="B6" s="31">
        <v>48.54184498267868</v>
      </c>
      <c r="C6" s="31">
        <v>48.669489341629955</v>
      </c>
      <c r="D6" s="31">
        <v>48.79713370058122</v>
      </c>
      <c r="E6" s="31">
        <v>48.924778059532485</v>
      </c>
      <c r="F6" s="31">
        <v>49.052422418483744</v>
      </c>
    </row>
    <row r="7" spans="1:6" x14ac:dyDescent="0.25">
      <c r="A7" s="30">
        <v>0.105183</v>
      </c>
      <c r="B7" s="31">
        <v>44.97682586909586</v>
      </c>
      <c r="C7" s="31">
        <v>45.08770548234862</v>
      </c>
      <c r="D7" s="32">
        <v>45.198585095601366</v>
      </c>
      <c r="E7" s="31">
        <v>45.30946470885412</v>
      </c>
      <c r="F7" s="31">
        <v>45.420344322106885</v>
      </c>
    </row>
    <row r="8" spans="1:6" x14ac:dyDescent="0.25">
      <c r="A8" s="30">
        <v>0.115183</v>
      </c>
      <c r="B8" s="31">
        <v>42.05054906514112</v>
      </c>
      <c r="C8" s="31">
        <v>42.14778014751121</v>
      </c>
      <c r="D8" s="31">
        <v>42.245011229881314</v>
      </c>
      <c r="E8" s="31">
        <v>42.34224231225141</v>
      </c>
      <c r="F8" s="31">
        <v>42.439473394621494</v>
      </c>
    </row>
    <row r="9" spans="1:6" x14ac:dyDescent="0.25">
      <c r="A9" s="30">
        <v>0.125183</v>
      </c>
      <c r="B9" s="31">
        <v>39.608931687785926</v>
      </c>
      <c r="C9" s="31">
        <v>39.69487291555942</v>
      </c>
      <c r="D9" s="31">
        <v>39.7808141433329</v>
      </c>
      <c r="E9" s="31">
        <v>39.86675537110639</v>
      </c>
      <c r="F9" s="31">
        <v>39.952696598879875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43229126000</v>
      </c>
      <c r="C5" s="18">
        <v>38294491000</v>
      </c>
      <c r="D5" s="18">
        <v>31681261000</v>
      </c>
      <c r="E5" s="18">
        <v>33196937000</v>
      </c>
      <c r="F5" s="8" t="s">
        <v>84</v>
      </c>
    </row>
    <row r="6" spans="1:6" x14ac:dyDescent="0.25">
      <c r="A6" t="s">
        <v>44</v>
      </c>
      <c r="B6" s="18">
        <v>3750910000</v>
      </c>
      <c r="C6" s="18">
        <v>2464366000</v>
      </c>
      <c r="D6" s="18">
        <v>882122000</v>
      </c>
      <c r="E6" s="18">
        <v>2744422000</v>
      </c>
      <c r="F6" s="8" t="s">
        <v>85</v>
      </c>
    </row>
    <row r="7" spans="1:6" x14ac:dyDescent="0.25">
      <c r="A7" t="s">
        <v>86</v>
      </c>
      <c r="B7" s="18">
        <v>2382000000</v>
      </c>
      <c r="C7" s="18">
        <v>2226278000</v>
      </c>
      <c r="D7" s="18">
        <v>2067231000</v>
      </c>
      <c r="E7" s="18">
        <v>1940579000</v>
      </c>
      <c r="F7" s="8" t="s">
        <v>87</v>
      </c>
    </row>
    <row r="8" spans="1:6" x14ac:dyDescent="0.25">
      <c r="A8" t="s">
        <v>88</v>
      </c>
      <c r="B8" s="18">
        <v>2930958000</v>
      </c>
      <c r="C8" s="18">
        <v>2260381000</v>
      </c>
      <c r="D8" s="18">
        <v>2487783000</v>
      </c>
      <c r="E8" s="18">
        <v>3113752000</v>
      </c>
      <c r="F8" s="8" t="s">
        <v>89</v>
      </c>
    </row>
    <row r="9" spans="1:6" x14ac:dyDescent="0.25">
      <c r="A9" t="s">
        <v>90</v>
      </c>
      <c r="B9" s="18">
        <v>419296000</v>
      </c>
      <c r="C9" s="18">
        <v>1668058000</v>
      </c>
      <c r="D9" s="18">
        <v>552581000</v>
      </c>
      <c r="E9" s="18">
        <v>-2729695000</v>
      </c>
      <c r="F9" s="8" t="s">
        <v>91</v>
      </c>
    </row>
    <row r="10" spans="1:6" x14ac:dyDescent="0.25">
      <c r="A10" t="s">
        <v>92</v>
      </c>
      <c r="B10" s="18">
        <v>6244099000</v>
      </c>
      <c r="C10" s="18">
        <v>6140854000</v>
      </c>
      <c r="D10" s="18">
        <v>5780041000</v>
      </c>
      <c r="E10" s="18">
        <v>6437379000</v>
      </c>
      <c r="F10" s="8" t="s">
        <v>93</v>
      </c>
    </row>
    <row r="11" spans="1:6" x14ac:dyDescent="0.25">
      <c r="A11" t="s">
        <v>94</v>
      </c>
      <c r="B11" s="18">
        <v>23016061000</v>
      </c>
      <c r="C11" s="18">
        <v>21358991000</v>
      </c>
      <c r="D11" s="18">
        <v>21508025000</v>
      </c>
      <c r="E11" s="18">
        <v>18094785000</v>
      </c>
      <c r="F11" s="8" t="s">
        <v>95</v>
      </c>
    </row>
    <row r="12" spans="1:6" x14ac:dyDescent="0.25">
      <c r="A12" t="s">
        <v>32</v>
      </c>
      <c r="B12" s="34">
        <v>1090014800</v>
      </c>
      <c r="C12" s="34">
        <v>1088891000</v>
      </c>
      <c r="D12" s="34">
        <v>1092575000</v>
      </c>
      <c r="E12" s="34">
        <v>1093708000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