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<sst xmlns="http://schemas.openxmlformats.org/spreadsheetml/2006/main" count="114" uniqueCount="102">
  <si>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BOC Hong Kong (Holdings) Limited (2388.HK)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</si>
  <si>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</si>
  <si>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</si>
  <si>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</si>
  <si>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</si>
  <si>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</si>
  <si>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</si>
  <si>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</si>
  <si>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</si>
  <si>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</si>
  <si>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</si>
  <si>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</si>
  <si>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</si>
  <si>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</si>
  <si>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</si>
  <si>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</si>
  <si>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</si>
  <si>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</si>
  <si>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</si>
  <si>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</si>
  <si>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</si>
  <si>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</si>
  <si>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80.6% is not a credible funding cost, so risk-free + 2bp is assumed instead. Interest expense and reported debt are measuring different things - common for banks, whose interest expense includes deposits that total debt excludes.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</si>
  <si>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</si>
  <si>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</si>
  <si>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</si>
  <si>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</si>
  <si>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</si>
  <si>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</si>
  <si>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</si>
  <si>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2025-12-31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</si>
  <si>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</si>
  <si>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</si>
  <si>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</si>
  <si>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</si>
  <si>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</si>
  <si>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</si>
  <si>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</si>
  <si>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</si>
  <si>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</si>
  <si>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</si>
  <si>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</si>
  <si>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</si>
  <si>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</si>
  <si>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</si>
  <si>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</si>
  <si>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</si>
  <si>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</si>
  <si>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</si>
  <si>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</si>
  <si>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</si>
  <si>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</si>
  <si>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</si>
  <si>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</si>
  <si>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</si>
  <si>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</si>
  <si>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</si>
  <si>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</si>
  <si>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</si>
  <si>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</si>
  <si>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</si>
  <si>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</si>
  <si>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</si>
  <si>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</si>
  <si>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</si>
  <si>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</si>
  <si>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</si>
  <si>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</si>
  <si>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</si>
  <si>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</si>
  <si>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</si>
  <si>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</si>
  <si>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</si>
  <si>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</si>
  <si>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</si>
  <si>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</si>
  <si>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</si>
  <si>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</si>
  <si>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</si>
  <si>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</si>
  <si>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</si>
  <si>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</si>
  <si>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</si>
  <si>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</si>
  <si>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</si>
  <si>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</si>
  <si>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</si>
  <si>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</si>
  <si>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</si>
  <si>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</si>
  <si>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</si>
  <si>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</si>
  <si>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</si>
  <si>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</si>
  <si>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</si>
  <si>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</si>
  <si>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</si>
  <si>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</si>
  <si>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</si>
  <si>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HKD assumption - no free live source available for this market.</t>
  </si>
  <si>
    <t>No usable EV/EBITDA (EBITDA is not positive), so the exit multiple falls back to 8x.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</si>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</sst>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0.18823214067211969</v>
      </c>
    </row>
    <row r="7" spans="1:2" x14ac:dyDescent="0.25">
      <c r="A7" t="s">
        <v>5</v>
      </c>
      <c r="B7" s="6">
        <v>0.6025103841448718</v>
      </c>
    </row>
    <row r="8" spans="1:2" x14ac:dyDescent="0.25">
      <c r="A8" t="s">
        <v>6</v>
      </c>
      <c r="B8" s="6">
        <v>0.15767949646024654</v>
      </c>
    </row>
    <row r="9" spans="1:2" x14ac:dyDescent="0.25">
      <c r="A9" t="s">
        <v>7</v>
      </c>
      <c r="B9" s="6">
        <v>0.04231363630122132</v>
      </c>
    </row>
    <row r="10" spans="1:2" x14ac:dyDescent="0.25">
      <c r="A10" t="s">
        <v>8</v>
      </c>
      <c r="B10" s="6">
        <v>0.022435062391895886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0.08926937346499715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0.49817</v>
      </c>
      <c r="C19" s="8" t="s">
        <v>19</v>
      </c>
    </row>
    <row r="20" spans="1:2" x14ac:dyDescent="0.25">
      <c r="A20" t="s">
        <v>20</v>
      </c>
      <c r="B20" s="10">
        <f>B17+B19*B18</f>
        <v>0.06687190000000001</v>
      </c>
    </row>
    <row r="21" spans="1:3" x14ac:dyDescent="0.25">
      <c r="A21" t="s">
        <v>21</v>
      </c>
      <c r="B21" s="6">
        <v>0.052000000000000005</v>
      </c>
      <c r="C21" s="8" t="s">
        <v>22</v>
      </c>
    </row>
    <row r="22" spans="1:2" x14ac:dyDescent="0.25">
      <c r="A22" t="s">
        <v>23</v>
      </c>
      <c r="B22" s="11">
        <v>550313197568</v>
      </c>
    </row>
    <row r="23" spans="1:2" x14ac:dyDescent="0.25">
      <c r="A23" t="s">
        <v>24</v>
      </c>
      <c r="B23" s="11">
        <v>88602000000</v>
      </c>
    </row>
    <row r="24" spans="1:2" x14ac:dyDescent="0.25">
      <c r="A24" t="s">
        <v>25</v>
      </c>
      <c r="B24" s="10">
        <f>B22/(B22+B23)</f>
        <v>0.8613243191940664</v>
      </c>
    </row>
    <row r="25" spans="1:2" x14ac:dyDescent="0.25">
      <c r="A25" t="s">
        <v>26</v>
      </c>
      <c r="B25" s="10">
        <f>1-B24</f>
        <v>0.13867568080593362</v>
      </c>
    </row>
    <row r="26" spans="1:2" x14ac:dyDescent="0.25">
      <c r="A26" t="s">
        <v>27</v>
      </c>
      <c r="B26" s="12">
        <f>B24*B20+B25*B21*(1-B8)</f>
        <v>0.06367248094354265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88921000000</v>
      </c>
      <c r="C29" s="8" t="s">
        <v>30</v>
      </c>
    </row>
    <row r="30" spans="1:2" x14ac:dyDescent="0.25">
      <c r="A30" t="s">
        <v>31</v>
      </c>
      <c r="B30" s="11">
        <v>-589516000000</v>
      </c>
    </row>
    <row r="31" spans="1:2" x14ac:dyDescent="0.25">
      <c r="A31" t="s">
        <v>32</v>
      </c>
      <c r="B31" s="13">
        <v>10572780266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0.18823214067211969</v>
      </c>
      <c r="C5" s="10">
        <f>Assumptions!B6</f>
        <v>0.18823214067211969</v>
      </c>
      <c r="D5" s="10">
        <f>Assumptions!B6</f>
        <v>0.18823214067211969</v>
      </c>
      <c r="E5" s="10">
        <f>Assumptions!B6</f>
        <v>0.18823214067211969</v>
      </c>
      <c r="F5" s="10">
        <f>Assumptions!B6</f>
        <v>0.18823214067211969</v>
      </c>
    </row>
    <row r="6" spans="1:6" x14ac:dyDescent="0.25">
      <c r="A6" t="s">
        <v>43</v>
      </c>
      <c r="B6" s="18">
        <f>Assumptions!B29*(1+B5)</f>
        <v>105658790180.70555</v>
      </c>
      <c r="C6" s="18">
        <f>B6*(1+C5)</f>
        <v>125547170437.2461</v>
      </c>
      <c r="D6" s="18">
        <f>C6*(1+D5)</f>
        <v>149179183083.97638</v>
      </c>
      <c r="E6" s="18">
        <f>D6*(1+E5)</f>
        <v>177259500059.5913</v>
      </c>
      <c r="F6" s="18">
        <f>E6*(1+F5)</f>
        <v>210625435210.2779</v>
      </c>
    </row>
    <row r="7" spans="1:6" x14ac:dyDescent="0.25">
      <c r="A7" t="s">
        <v>5</v>
      </c>
      <c r="B7" s="10">
        <f>Assumptions!B7</f>
        <v>0.6025103841448718</v>
      </c>
      <c r="C7" s="10">
        <f>Assumptions!B7</f>
        <v>0.6025103841448718</v>
      </c>
      <c r="D7" s="10">
        <f>Assumptions!B7</f>
        <v>0.6025103841448718</v>
      </c>
      <c r="E7" s="10">
        <f>Assumptions!B7</f>
        <v>0.6025103841448718</v>
      </c>
      <c r="F7" s="10">
        <f>Assumptions!B7</f>
        <v>0.6025103841448718</v>
      </c>
    </row>
    <row r="8" spans="1:6" x14ac:dyDescent="0.25">
      <c r="A8" t="s">
        <v>44</v>
      </c>
      <c r="B8" s="18">
        <f>B6*B7</f>
        <v>63660518260.05931</v>
      </c>
      <c r="C8" s="18">
        <f>C6*C7</f>
        <v>75643473888.44684</v>
      </c>
      <c r="D8" s="18">
        <f>D6*D7</f>
        <v>89882006906.34477</v>
      </c>
      <c r="E8" s="18">
        <f>E6*E7</f>
        <v>106800689474.23228</v>
      </c>
      <c r="F8" s="18">
        <f>F6*F7</f>
        <v>126904011879.22534</v>
      </c>
    </row>
    <row r="9" spans="1:6" x14ac:dyDescent="0.25">
      <c r="A9" t="s">
        <v>45</v>
      </c>
      <c r="B9" s="18">
        <f>B8*(1-Assumptions!B8)</f>
        <v>53622559796.414825</v>
      </c>
      <c r="C9" s="18">
        <f>C8*(1-Assumptions!B8)</f>
        <v>63716049015.21273</v>
      </c>
      <c r="D9" s="18">
        <f>D8*(1-Assumptions!B8)</f>
        <v>75709457316.51591</v>
      </c>
      <c r="E9" s="18">
        <f>E8*(1-Assumptions!B8)</f>
        <v>89960410536.32819</v>
      </c>
      <c r="F9" s="18">
        <f>F8*(1-Assumptions!B8)</f>
        <v>106893851187.32394</v>
      </c>
    </row>
    <row r="10" spans="1:6" x14ac:dyDescent="0.25">
      <c r="A10" t="s">
        <v>46</v>
      </c>
      <c r="B10" s="18">
        <f>B6*Assumptions!B9</f>
        <v>4470807619.733429</v>
      </c>
      <c r="C10" s="18">
        <f>C6*Assumptions!B9</f>
        <v>5312357308.529077</v>
      </c>
      <c r="D10" s="18">
        <f>D6*Assumptions!B9</f>
        <v>6312313696.728684</v>
      </c>
      <c r="E10" s="18">
        <f>E6*Assumptions!B9</f>
        <v>7500494016.457866</v>
      </c>
      <c r="F10" s="18">
        <f>F6*Assumptions!B9</f>
        <v>8912328061.274155</v>
      </c>
    </row>
    <row r="11" spans="1:6" x14ac:dyDescent="0.25">
      <c r="A11" t="s">
        <v>47</v>
      </c>
      <c r="B11" s="18">
        <f>-B6*Assumptions!B10</f>
        <v>-2370461549.9563656</v>
      </c>
      <c r="C11" s="18">
        <f>-C6*Assumptions!B10</f>
        <v>-2816658601.885603</v>
      </c>
      <c r="D11" s="18">
        <f>-D6*Assumptions!B10</f>
        <v>-3346844280.0610695</v>
      </c>
      <c r="E11" s="18">
        <f>-E6*Assumptions!B10</f>
        <v>-3976827943.3932037</v>
      </c>
      <c r="F11" s="18">
        <f>-F6*Assumptions!B10</f>
        <v>-4725394780.262809</v>
      </c>
    </row>
    <row r="12" spans="1:6" x14ac:dyDescent="0.25">
      <c r="A12" t="s">
        <v>48</v>
      </c>
      <c r="B12" s="18">
        <f>-(B6-Assumptions!B29)*Assumptions!B11</f>
        <v>-16737790180.705551</v>
      </c>
      <c r="C12" s="18">
        <f>-(C6-B6)*Assumptions!B11</f>
        <v>-19888380256.540543</v>
      </c>
      <c r="D12" s="18">
        <f>-(D6-C6)*Assumptions!B11</f>
        <v>-23632012646.730286</v>
      </c>
      <c r="E12" s="18">
        <f>-(E6-D6)*Assumptions!B11</f>
        <v>-28080316975.61493</v>
      </c>
      <c r="F12" s="18">
        <f>-(F6-E6)*Assumptions!B11</f>
        <v>-33365935150.686584</v>
      </c>
    </row>
    <row r="13" spans="1:6" x14ac:dyDescent="0.25">
      <c r="A13" s="19" t="s">
        <v>49</v>
      </c>
      <c r="B13" s="20">
        <f>B9+B10+B11+B12</f>
        <v>38985115685.486336</v>
      </c>
      <c r="C13" s="20">
        <f>C9+C10+C11+C12</f>
        <v>46323367465.31566</v>
      </c>
      <c r="D13" s="20">
        <f>D9+D10+D11+D12</f>
        <v>55042914086.45325</v>
      </c>
      <c r="E13" s="20">
        <f>E9+E10+E11+E12</f>
        <v>65403759633.77792</v>
      </c>
      <c r="F13" s="20">
        <f>F9+F10+F11+F12</f>
        <v>77714849317.64871</v>
      </c>
    </row>
    <row r="14" spans="1:6" x14ac:dyDescent="0.25">
      <c r="A14" t="s">
        <v>50</v>
      </c>
      <c r="B14" s="21">
        <f>1/(1+Assumptions!$B$26)^(1-0.5*Assumptions!$B$32)</f>
        <v>0.9696076610641801</v>
      </c>
      <c r="C14" s="21">
        <f>1/(1+Assumptions!$B$26)^(2-0.5*Assumptions!$B$32)</f>
        <v>0.9115659927613042</v>
      </c>
      <c r="D14" s="21">
        <f>1/(1+Assumptions!$B$26)^(3-0.5*Assumptions!$B$32)</f>
        <v>0.8569987558131515</v>
      </c>
      <c r="E14" s="21">
        <f>1/(1+Assumptions!$B$26)^(4-0.5*Assumptions!$B$32)</f>
        <v>0.8056979673413578</v>
      </c>
      <c r="F14" s="21">
        <f>1/(1+Assumptions!$B$26)^(5-0.5*Assumptions!$B$32)</f>
        <v>0.7574680945272311</v>
      </c>
    </row>
    <row r="15" spans="1:6" x14ac:dyDescent="0.25">
      <c r="A15" s="19" t="s">
        <v>51</v>
      </c>
      <c r="B15" s="20">
        <f>B13*B14</f>
        <v>37800266836.12089</v>
      </c>
      <c r="C15" s="20">
        <f>C13*C14</f>
        <v>42226806451.56717</v>
      </c>
      <c r="D15" s="20">
        <f>D13*D14</f>
        <v>47171708888.42062</v>
      </c>
      <c r="E15" s="20">
        <f>E13*E14</f>
        <v>52695676193.41762</v>
      </c>
      <c r="F15" s="20">
        <f>F13*F14</f>
        <v>58866518829.11025</v>
      </c>
    </row>
    <row r="17" spans="1:2" x14ac:dyDescent="0.25">
      <c r="A17" s="22" t="s">
        <v>52</v>
      </c>
      <c r="B17" s="23">
        <f>SUM(B15:F15)</f>
        <v>238760977198.63657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77714849317.64871</v>
      </c>
    </row>
    <row r="5" spans="1:2" x14ac:dyDescent="0.25">
      <c r="A5" t="s">
        <v>56</v>
      </c>
      <c r="B5" s="18">
        <f>IF(Assumptions!$B$33=0,B4,B4-Forecast!F11-Forecast!F10-Forecast!F12)</f>
        <v>106893851187.32394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0.28005125419416765</v>
      </c>
    </row>
    <row r="7" spans="1:2" x14ac:dyDescent="0.25">
      <c r="A7" t="s">
        <v>58</v>
      </c>
      <c r="B7" s="18">
        <f>-MAX(Forecast!F9,0)*B6</f>
        <v>-29935757090.65479</v>
      </c>
    </row>
    <row r="8" spans="1:2" x14ac:dyDescent="0.25">
      <c r="A8" t="s">
        <v>59</v>
      </c>
      <c r="B8" s="18">
        <f>IF(OR(Assumptions!$B$33=0,Assumptions!B12&lt;=0),B5,MAX(B5+B7,0))</f>
        <v>76958094096.66916</v>
      </c>
    </row>
    <row r="9" spans="1:2" x14ac:dyDescent="0.25">
      <c r="A9" t="s">
        <v>60</v>
      </c>
      <c r="B9" s="18">
        <f>B8*(1+Assumptions!B12)/(Assumptions!B26-Assumptions!B12)</f>
        <v>2039746210341.2642</v>
      </c>
    </row>
    <row r="10" spans="1:2" x14ac:dyDescent="0.25">
      <c r="A10" t="s">
        <v>61</v>
      </c>
      <c r="B10" s="18">
        <f>B9/(1+Assumptions!B26)^(5-0.5*Assumptions!B32)</f>
        <v>1545042675266.3381</v>
      </c>
    </row>
    <row r="11" spans="1:2" x14ac:dyDescent="0.25">
      <c r="A11" t="s">
        <v>62</v>
      </c>
      <c r="B11" s="18">
        <f>Forecast!B17+B10</f>
        <v>1783803652464.9746</v>
      </c>
    </row>
    <row r="12" spans="1:2" x14ac:dyDescent="0.25">
      <c r="A12" t="s">
        <v>63</v>
      </c>
      <c r="B12" s="18">
        <f>-Assumptions!B30</f>
        <v>589516000000</v>
      </c>
    </row>
    <row r="13" spans="1:2" x14ac:dyDescent="0.25">
      <c r="A13" t="s">
        <v>64</v>
      </c>
      <c r="B13" s="18">
        <f>B11+B12</f>
        <v>2373319652464.9746</v>
      </c>
    </row>
    <row r="14" spans="1:2" x14ac:dyDescent="0.25">
      <c r="A14" s="19" t="s">
        <v>65</v>
      </c>
      <c r="B14" s="24">
        <f>B13/Assumptions!B31</f>
        <v>224.47450838424288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135816339940.4995</v>
      </c>
    </row>
    <row r="18" spans="1:2" x14ac:dyDescent="0.25">
      <c r="A18" t="s">
        <v>60</v>
      </c>
      <c r="B18" s="18">
        <f>B17*Assumptions!B13</f>
        <v>1086530719523.996</v>
      </c>
    </row>
    <row r="19" spans="1:2" x14ac:dyDescent="0.25">
      <c r="A19" t="s">
        <v>61</v>
      </c>
      <c r="B19" s="18">
        <f>B18/(1+Assumptions!B26)^(5-0.5*Assumptions!B32)</f>
        <v>823012353763.1426</v>
      </c>
    </row>
    <row r="20" spans="1:2" x14ac:dyDescent="0.25">
      <c r="A20" t="s">
        <v>62</v>
      </c>
      <c r="B20" s="18">
        <f>Forecast!B17+B19</f>
        <v>1061773330961.7792</v>
      </c>
    </row>
    <row r="21" spans="1:2" x14ac:dyDescent="0.25">
      <c r="A21" t="s">
        <v>63</v>
      </c>
      <c r="B21" s="18">
        <f>-Assumptions!B30</f>
        <v>589516000000.0001</v>
      </c>
    </row>
    <row r="22" spans="1:2" x14ac:dyDescent="0.25">
      <c r="A22" t="s">
        <v>64</v>
      </c>
      <c r="B22" s="18">
        <f>B20+B21</f>
        <v>1651289330961.7793</v>
      </c>
    </row>
    <row r="23" spans="1:2" x14ac:dyDescent="0.25">
      <c r="A23" s="19" t="s">
        <v>65</v>
      </c>
      <c r="B23" s="25">
        <f>B22/Assumptions!B31</f>
        <v>156.18307478421772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52.05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224.47450838424288</v>
      </c>
    </row>
    <row r="29" spans="1:2" x14ac:dyDescent="0.25">
      <c r="A29" s="19" t="s">
        <v>73</v>
      </c>
      <c r="B29" s="12">
        <f>B28/B26-1</f>
        <v>3.312670670206396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0.043672</v>
      </c>
      <c r="B5" s="31">
        <v>325.2092092599481</v>
      </c>
      <c r="C5" s="31">
        <v>358.43337508026144</v>
      </c>
      <c r="D5" s="31">
        <v>409.2009087868383</v>
      </c>
      <c r="E5" s="31">
        <v>496.75921517005</v>
      </c>
      <c r="F5" s="31">
        <v>684.7454702157729</v>
      </c>
    </row>
    <row r="6" spans="1:6" x14ac:dyDescent="0.25">
      <c r="A6" s="30">
        <v>0.053672</v>
      </c>
      <c r="B6" s="31">
        <v>253.4184286072449</v>
      </c>
      <c r="C6" s="31">
        <v>266.7578192169731</v>
      </c>
      <c r="D6" s="31">
        <v>284.59352161344196</v>
      </c>
      <c r="E6" s="31">
        <v>309.77466881461015</v>
      </c>
      <c r="F6" s="31">
        <v>348.20216442322436</v>
      </c>
    </row>
    <row r="7" spans="1:6" x14ac:dyDescent="0.25">
      <c r="A7" s="30">
        <v>0.063672</v>
      </c>
      <c r="B7" s="31">
        <v>211.20929196021564</v>
      </c>
      <c r="C7" s="31">
        <v>217.13259180826537</v>
      </c>
      <c r="D7" s="32">
        <v>224.47665089512907</v>
      </c>
      <c r="E7" s="31">
        <v>233.87438049967983</v>
      </c>
      <c r="F7" s="31">
        <v>246.40017577277226</v>
      </c>
    </row>
    <row r="8" spans="1:6" x14ac:dyDescent="0.25">
      <c r="A8" s="30">
        <v>0.073672</v>
      </c>
      <c r="B8" s="31">
        <v>183.4526075619634</v>
      </c>
      <c r="C8" s="31">
        <v>186.05088215065788</v>
      </c>
      <c r="D8" s="31">
        <v>189.09849556581713</v>
      </c>
      <c r="E8" s="31">
        <v>192.7497819894565</v>
      </c>
      <c r="F8" s="31">
        <v>197.2388926195279</v>
      </c>
    </row>
    <row r="9" spans="1:6" x14ac:dyDescent="0.25">
      <c r="A9" s="30">
        <v>0.083672</v>
      </c>
      <c r="B9" s="31">
        <v>163.83181182314257</v>
      </c>
      <c r="C9" s="31">
        <v>164.77345886601302</v>
      </c>
      <c r="D9" s="31">
        <v>165.80836984858905</v>
      </c>
      <c r="E9" s="31">
        <v>166.96260974135038</v>
      </c>
      <c r="F9" s="31">
        <v>168.2729539727317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88921000000</v>
      </c>
      <c r="C5" s="18">
        <v>71843000000</v>
      </c>
      <c r="D5" s="18">
        <v>69660000000</v>
      </c>
      <c r="E5" s="18">
        <v>53003000000</v>
      </c>
      <c r="F5" s="8" t="s">
        <v>84</v>
      </c>
    </row>
    <row r="6" spans="1:6" x14ac:dyDescent="0.25">
      <c r="A6" t="s">
        <v>44</v>
      </c>
      <c r="B6" s="18">
        <v>48574000000</v>
      </c>
      <c r="C6" s="18">
        <v>46754000000</v>
      </c>
      <c r="D6" s="18">
        <v>40914000000</v>
      </c>
      <c r="E6" s="18">
        <v>33162000000</v>
      </c>
      <c r="F6" s="8" t="s">
        <v>85</v>
      </c>
    </row>
    <row r="7" spans="1:6" x14ac:dyDescent="0.25">
      <c r="A7" t="s">
        <v>86</v>
      </c>
      <c r="B7" s="18">
        <v>2741000000</v>
      </c>
      <c r="C7" s="18">
        <v>2867000000</v>
      </c>
      <c r="D7" s="18">
        <v>2919000000</v>
      </c>
      <c r="E7" s="18">
        <v>3001000000</v>
      </c>
      <c r="F7" s="8" t="s">
        <v>87</v>
      </c>
    </row>
    <row r="8" spans="1:6" x14ac:dyDescent="0.25">
      <c r="A8" t="s">
        <v>88</v>
      </c>
      <c r="B8" s="18">
        <v>1505000000</v>
      </c>
      <c r="C8" s="18">
        <v>2198000000</v>
      </c>
      <c r="D8" s="18">
        <v>1293000000</v>
      </c>
      <c r="E8" s="18">
        <v>1254000000</v>
      </c>
      <c r="F8" s="8" t="s">
        <v>89</v>
      </c>
    </row>
    <row r="9" spans="1:6" x14ac:dyDescent="0.25">
      <c r="A9" t="s">
        <v>90</v>
      </c>
      <c r="B9" s="18">
        <v>121510000000</v>
      </c>
      <c r="C9" s="18">
        <v>57772000000</v>
      </c>
      <c r="D9" s="18">
        <v>-149629000000</v>
      </c>
      <c r="E9" s="18">
        <v>84238000000</v>
      </c>
      <c r="F9" s="8" t="s">
        <v>91</v>
      </c>
    </row>
    <row r="10" spans="1:6" x14ac:dyDescent="0.25">
      <c r="A10" t="s">
        <v>92</v>
      </c>
      <c r="B10" s="18">
        <v>88602000000</v>
      </c>
      <c r="C10" s="18">
        <v>78680000000</v>
      </c>
      <c r="D10" s="18">
        <v>78528000000</v>
      </c>
      <c r="E10" s="18">
        <v>81329000000</v>
      </c>
      <c r="F10" s="8" t="s">
        <v>93</v>
      </c>
    </row>
    <row r="11" spans="1:6" x14ac:dyDescent="0.25">
      <c r="A11" t="s">
        <v>94</v>
      </c>
      <c r="B11" s="18">
        <v>678118000000</v>
      </c>
      <c r="C11" s="18">
        <v>683005000000</v>
      </c>
      <c r="D11" s="18">
        <v>453207000000</v>
      </c>
      <c r="E11" s="18">
        <v>546701000000</v>
      </c>
      <c r="F11" s="8" t="s">
        <v>95</v>
      </c>
    </row>
    <row r="12" spans="1:6" x14ac:dyDescent="0.25">
      <c r="A12" t="s">
        <v>32</v>
      </c>
      <c r="B12" s="34">
        <v>10572780266</v>
      </c>
      <c r="C12" s="34">
        <v>10572780266</v>
      </c>
      <c r="D12" s="34">
        <v>10572780266</v>
      </c>
      <c r="E12" s="34">
        <v>10572780266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2026-09-19T01:06:42Z</dcterms:modified>
</cp:coreProperties>
</file>