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<sst xmlns="http://schemas.openxmlformats.org/spreadsheetml/2006/main" count="114" uniqueCount="102">
  <si>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JD Logistics, Inc. (2618.HK)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</si>
  <si>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</si>
  <si>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</si>
  <si>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</si>
  <si>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</si>
  <si>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</si>
  <si>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</si>
  <si>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</si>
  <si>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</si>
  <si>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</si>
  <si>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</si>
  <si>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</si>
  <si>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</si>
  <si>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</si>
  <si>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</si>
  <si>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</si>
  <si>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</si>
  <si>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</si>
  <si>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</si>
  <si>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</si>
  <si>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</si>
  <si>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</si>
  <si>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</si>
  <si>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</si>
  <si>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</si>
  <si>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</si>
  <si>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</si>
  <si>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</si>
  <si>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</si>
  <si>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</si>
  <si>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</si>
  <si>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</si>
  <si>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</si>
  <si>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</si>
  <si>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</si>
  <si>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</si>
  <si>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</si>
  <si>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</si>
  <si>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</si>
  <si>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</si>
  <si>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</si>
  <si>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</si>
  <si>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</si>
  <si>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</si>
  <si>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</si>
  <si>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</si>
  <si>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</si>
  <si>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</si>
  <si>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</si>
  <si>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</si>
  <si>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</si>
  <si>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</si>
  <si>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</si>
  <si>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</si>
  <si>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</si>
  <si>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</si>
  <si>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</si>
  <si>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</si>
  <si>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</si>
  <si>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</si>
  <si>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</si>
  <si>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</si>
  <si>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</si>
  <si>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</si>
  <si>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</si>
  <si>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</si>
  <si>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</si>
  <si>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</si>
  <si>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</si>
  <si>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</si>
  <si>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</si>
  <si>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</si>
  <si>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</si>
  <si>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</si>
  <si>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</si>
  <si>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</si>
  <si>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</si>
  <si>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</si>
  <si>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</si>
  <si>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</si>
  <si>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</si>
  <si>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</si>
  <si>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</si>
  <si>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</si>
  <si>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</si>
  <si>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</si>
  <si>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</si>
  <si>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</si>
  <si>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</si>
  <si>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</si>
  <si>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</si>
  <si>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</si>
  <si>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</si>
  <si>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</si>
  <si>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</si>
  <si>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</si>
  <si>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</si>
  <si>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</si>
  <si>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</si>
  <si>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</si>
  <si>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Current EV/EBITDA of 3.0x sits outside a defensible 3-20x band, so the exit multiple is capped at 3.0x.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</si>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</sst>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0.16480593651566067</v>
      </c>
    </row>
    <row r="7" spans="1:2" x14ac:dyDescent="0.25">
      <c r="A7" t="s">
        <v>5</v>
      </c>
      <c r="B7" s="6">
        <v>0.02019548807396835</v>
      </c>
    </row>
    <row r="8" spans="1:2" x14ac:dyDescent="0.25">
      <c r="A8" t="s">
        <v>6</v>
      </c>
      <c r="B8" s="6">
        <v>0.08140951358421543</v>
      </c>
    </row>
    <row r="9" spans="1:2" x14ac:dyDescent="0.25">
      <c r="A9" t="s">
        <v>7</v>
      </c>
      <c r="B9" s="6">
        <v>0.06898767369336897</v>
      </c>
    </row>
    <row r="10" spans="1:2" x14ac:dyDescent="0.25">
      <c r="A10" t="s">
        <v>8</v>
      </c>
      <c r="B10" s="6">
        <v>0.03381968876321349</v>
      </c>
    </row>
    <row r="11" spans="1:2" x14ac:dyDescent="0.25">
      <c r="A11" t="s">
        <v>9</v>
      </c>
      <c r="B11" s="6">
        <v>-0.005524129222755845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0.06790921761217472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0.68041</v>
      </c>
      <c r="C19" s="8" t="s">
        <v>19</v>
      </c>
    </row>
    <row r="20" spans="1:2" x14ac:dyDescent="0.25">
      <c r="A20" t="s">
        <v>20</v>
      </c>
      <c r="B20" s="10">
        <f>B17+B19*B18</f>
        <v>0.0796287</v>
      </c>
    </row>
    <row r="21" spans="1:3" x14ac:dyDescent="0.25">
      <c r="A21" t="s">
        <v>21</v>
      </c>
      <c r="B21" s="6">
        <v>0.037517681389822734</v>
      </c>
      <c r="C21" s="8" t="s">
        <v>22</v>
      </c>
    </row>
    <row r="22" spans="1:2" x14ac:dyDescent="0.25">
      <c r="A22" t="s">
        <v>23</v>
      </c>
      <c r="B22" s="11">
        <v>64059965440</v>
      </c>
    </row>
    <row r="23" spans="1:2" x14ac:dyDescent="0.25">
      <c r="A23" t="s">
        <v>24</v>
      </c>
      <c r="B23" s="11">
        <v>22446732000</v>
      </c>
    </row>
    <row r="24" spans="1:2" x14ac:dyDescent="0.25">
      <c r="A24" t="s">
        <v>25</v>
      </c>
      <c r="B24" s="10">
        <f>B22/(B22+B23)</f>
        <v>0.7405202988408062</v>
      </c>
    </row>
    <row r="25" spans="1:2" x14ac:dyDescent="0.25">
      <c r="A25" t="s">
        <v>26</v>
      </c>
      <c r="B25" s="10">
        <f>1-B24</f>
        <v>0.25947970115919383</v>
      </c>
    </row>
    <row r="26" spans="1:2" x14ac:dyDescent="0.25">
      <c r="A26" t="s">
        <v>27</v>
      </c>
      <c r="B26" s="12">
        <f>B24*B20+B25*B21*(1-B8)</f>
        <v>0.06790921761217472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217146986000</v>
      </c>
      <c r="C29" s="8" t="s">
        <v>30</v>
      </c>
    </row>
    <row r="30" spans="1:2" x14ac:dyDescent="0.25">
      <c r="A30" t="s">
        <v>31</v>
      </c>
      <c r="B30" s="11">
        <v>-6575715000</v>
      </c>
    </row>
    <row r="31" spans="1:2" x14ac:dyDescent="0.25">
      <c r="A31" t="s">
        <v>32</v>
      </c>
      <c r="B31" s="13">
        <v>6404027828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0.16480593651566067</v>
      </c>
      <c r="C5" s="10">
        <f>Assumptions!B6</f>
        <v>0.16480593651566067</v>
      </c>
      <c r="D5" s="10">
        <f>Assumptions!B6</f>
        <v>0.16480593651566067</v>
      </c>
      <c r="E5" s="10">
        <f>Assumptions!B6</f>
        <v>0.16480593651566067</v>
      </c>
      <c r="F5" s="10">
        <f>Assumptions!B6</f>
        <v>0.16480593651566067</v>
      </c>
    </row>
    <row r="6" spans="1:6" x14ac:dyDescent="0.25">
      <c r="A6" t="s">
        <v>43</v>
      </c>
      <c r="B6" s="18">
        <f>Assumptions!B29*(1+B5)</f>
        <v>252934098389.28305</v>
      </c>
      <c r="C6" s="18">
        <f>B6*(1+C5)</f>
        <v>294619139351.0731</v>
      </c>
      <c r="D6" s="18">
        <f>C6*(1+D5)</f>
        <v>343174122527.26465</v>
      </c>
      <c r="E6" s="18">
        <f>D6*(1+E5)</f>
        <v>399731255178.3106</v>
      </c>
      <c r="F6" s="18">
        <f>E6*(1+F5)</f>
        <v>465609339042.5526</v>
      </c>
    </row>
    <row r="7" spans="1:6" x14ac:dyDescent="0.25">
      <c r="A7" t="s">
        <v>5</v>
      </c>
      <c r="B7" s="10">
        <f>Assumptions!B7</f>
        <v>0.02019548807396835</v>
      </c>
      <c r="C7" s="10">
        <f>Assumptions!B7</f>
        <v>0.02019548807396835</v>
      </c>
      <c r="D7" s="10">
        <f>Assumptions!B7</f>
        <v>0.02019548807396835</v>
      </c>
      <c r="E7" s="10">
        <f>Assumptions!B7</f>
        <v>0.02019548807396835</v>
      </c>
      <c r="F7" s="10">
        <f>Assumptions!B7</f>
        <v>0.02019548807396835</v>
      </c>
    </row>
    <row r="8" spans="1:6" x14ac:dyDescent="0.25">
      <c r="A8" t="s">
        <v>44</v>
      </c>
      <c r="B8" s="18">
        <f>B6*B7</f>
        <v>5108127567.520703</v>
      </c>
      <c r="C8" s="18">
        <f>C6*C7</f>
        <v>5949977315.127417</v>
      </c>
      <c r="D8" s="18">
        <f>D6*D7</f>
        <v>6930568898.793926</v>
      </c>
      <c r="E8" s="18">
        <f>E6*E7</f>
        <v>8072767796.745971</v>
      </c>
      <c r="F8" s="18">
        <f>F6*F7</f>
        <v>9403207853.762157</v>
      </c>
    </row>
    <row r="9" spans="1:6" x14ac:dyDescent="0.25">
      <c r="A9" t="s">
        <v>45</v>
      </c>
      <c r="B9" s="18">
        <f>B8*(1-Assumptions!B8)</f>
        <v>4692277386.922721</v>
      </c>
      <c r="C9" s="18">
        <f>C8*(1-Assumptions!B8)</f>
        <v>5465592556.065778</v>
      </c>
      <c r="D9" s="18">
        <f>D8*(1-Assumptions!B8)</f>
        <v>6366354655.881221</v>
      </c>
      <c r="E9" s="18">
        <f>E8*(1-Assumptions!B8)</f>
        <v>7415567697.1345625</v>
      </c>
      <c r="F9" s="18">
        <f>F8*(1-Assumptions!B8)</f>
        <v>8637697276.256105</v>
      </c>
    </row>
    <row r="10" spans="1:6" x14ac:dyDescent="0.25">
      <c r="A10" t="s">
        <v>46</v>
      </c>
      <c r="B10" s="18">
        <f>B6*Assumptions!B9</f>
        <v>17449335045.606342</v>
      </c>
      <c r="C10" s="18">
        <f>C6*Assumptions!B9</f>
        <v>20325089049.373035</v>
      </c>
      <c r="D10" s="18">
        <f>D6*Assumptions!B9</f>
        <v>23674784384.919155</v>
      </c>
      <c r="E10" s="18">
        <f>E6*Assumptions!B9</f>
        <v>27576529397.282097</v>
      </c>
      <c r="F10" s="18">
        <f>F6*Assumptions!B9</f>
        <v>32121305150.452824</v>
      </c>
    </row>
    <row r="11" spans="1:6" x14ac:dyDescent="0.25">
      <c r="A11" t="s">
        <v>47</v>
      </c>
      <c r="B11" s="18">
        <f>-B6*Assumptions!B10</f>
        <v>-8554152485.129572</v>
      </c>
      <c r="C11" s="18">
        <f>-C6*Assumptions!B10</f>
        <v>-9963927596.539118</v>
      </c>
      <c r="D11" s="18">
        <f>-D6*Assumptions!B10</f>
        <v>-11606042015.460983</v>
      </c>
      <c r="E11" s="18">
        <f>-E6*Assumptions!B10</f>
        <v>-13518786639.059137</v>
      </c>
      <c r="F11" s="18">
        <f>-F6*Assumptions!B10</f>
        <v>-15746762931.664679</v>
      </c>
    </row>
    <row r="12" spans="1:6" x14ac:dyDescent="0.25">
      <c r="A12" t="s">
        <v>48</v>
      </c>
      <c r="B12" s="18">
        <f>-(B6-Assumptions!B29)*Assumptions!B11</f>
        <v>197692633.34768626</v>
      </c>
      <c r="C12" s="18">
        <f>-(C6-B6)*Assumptions!B11</f>
        <v>230273552.92879894</v>
      </c>
      <c r="D12" s="18">
        <f>-(D6-C6)*Assumptions!B11</f>
        <v>268224001.47401804</v>
      </c>
      <c r="E12" s="18">
        <f>-(E6-D6)*Assumptions!B11</f>
        <v>312428909.2329217</v>
      </c>
      <c r="F12" s="18">
        <f>-(F6-E6)*Assumptions!B11</f>
        <v>363919048.2136196</v>
      </c>
    </row>
    <row r="13" spans="1:6" x14ac:dyDescent="0.25">
      <c r="A13" s="19" t="s">
        <v>49</v>
      </c>
      <c r="B13" s="20">
        <f>B9+B10+B11+B12</f>
        <v>13785152580.747179</v>
      </c>
      <c r="C13" s="20">
        <f>C9+C10+C11+C12</f>
        <v>16057027561.828493</v>
      </c>
      <c r="D13" s="20">
        <f>D9+D10+D11+D12</f>
        <v>18703321026.81341</v>
      </c>
      <c r="E13" s="20">
        <f>E9+E10+E11+E12</f>
        <v>21785739364.590443</v>
      </c>
      <c r="F13" s="20">
        <f>F9+F10+F11+F12</f>
        <v>25376158543.25787</v>
      </c>
    </row>
    <row r="14" spans="1:6" x14ac:dyDescent="0.25">
      <c r="A14" t="s">
        <v>50</v>
      </c>
      <c r="B14" s="21">
        <f>1/(1+Assumptions!$B$26)^(1-0.5*Assumptions!$B$32)</f>
        <v>0.967682378102088</v>
      </c>
      <c r="C14" s="21">
        <f>1/(1+Assumptions!$B$26)^(2-0.5*Assumptions!$B$32)</f>
        <v>0.9061466669103279</v>
      </c>
      <c r="D14" s="21">
        <f>1/(1+Assumptions!$B$26)^(3-0.5*Assumptions!$B$32)</f>
        <v>0.8485240617516675</v>
      </c>
      <c r="E14" s="21">
        <f>1/(1+Assumptions!$B$26)^(4-0.5*Assumptions!$B$32)</f>
        <v>0.7945657250238476</v>
      </c>
      <c r="F14" s="21">
        <f>1/(1+Assumptions!$B$26)^(5-0.5*Assumptions!$B$32)</f>
        <v>0.7440386429105668</v>
      </c>
    </row>
    <row r="15" spans="1:6" x14ac:dyDescent="0.25">
      <c r="A15" s="19" t="s">
        <v>51</v>
      </c>
      <c r="B15" s="20">
        <f>B13*B14</f>
        <v>13339649231.837566</v>
      </c>
      <c r="C15" s="20">
        <f>C13*C14</f>
        <v>14550022005.638157</v>
      </c>
      <c r="D15" s="20">
        <f>D13*D14</f>
        <v>15870217925.917084</v>
      </c>
      <c r="E15" s="20">
        <f>E13*E14</f>
        <v>17310201793.406384</v>
      </c>
      <c r="F15" s="20">
        <f>F13*F14</f>
        <v>18880842564.80897</v>
      </c>
    </row>
    <row r="17" spans="1:2" x14ac:dyDescent="0.25">
      <c r="A17" s="22" t="s">
        <v>52</v>
      </c>
      <c r="B17" s="23">
        <f>SUM(B15:F15)</f>
        <v>79950933521.60817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25376158543.25787</v>
      </c>
    </row>
    <row r="5" spans="1:2" x14ac:dyDescent="0.25">
      <c r="A5" t="s">
        <v>56</v>
      </c>
      <c r="B5" s="18">
        <f>IF(Assumptions!$B$33=0,B4,B4-Forecast!F11-Forecast!F10-Forecast!F12)</f>
        <v>10075701094.744947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0.3681385366972335</v>
      </c>
    </row>
    <row r="7" spans="1:2" x14ac:dyDescent="0.25">
      <c r="A7" t="s">
        <v>58</v>
      </c>
      <c r="B7" s="18">
        <f>-MAX(Forecast!F9,0)*B6</f>
        <v>-3709253857.2181187</v>
      </c>
    </row>
    <row r="8" spans="1:2" x14ac:dyDescent="0.25">
      <c r="A8" t="s">
        <v>59</v>
      </c>
      <c r="B8" s="18">
        <f>IF(OR(Assumptions!$B$33=0,Assumptions!B12&lt;=0),B5,MAX(B5+B7,0))</f>
        <v>6366447237.526829</v>
      </c>
    </row>
    <row r="9" spans="1:2" x14ac:dyDescent="0.25">
      <c r="A9" t="s">
        <v>60</v>
      </c>
      <c r="B9" s="18">
        <f>B8*(1+Assumptions!B12)/(Assumptions!B26-Assumptions!B12)</f>
        <v>152079408145.94287</v>
      </c>
    </row>
    <row r="10" spans="1:2" x14ac:dyDescent="0.25">
      <c r="A10" t="s">
        <v>61</v>
      </c>
      <c r="B10" s="18">
        <f>B9/(1+Assumptions!B26)^(5-0.5*Assumptions!B32)</f>
        <v>113152956451.54953</v>
      </c>
    </row>
    <row r="11" spans="1:2" x14ac:dyDescent="0.25">
      <c r="A11" t="s">
        <v>62</v>
      </c>
      <c r="B11" s="18">
        <f>Forecast!B17+B10</f>
        <v>193103889973.1577</v>
      </c>
    </row>
    <row r="12" spans="1:2" x14ac:dyDescent="0.25">
      <c r="A12" t="s">
        <v>63</v>
      </c>
      <c r="B12" s="18">
        <f>-Assumptions!B30</f>
        <v>6575715000</v>
      </c>
    </row>
    <row r="13" spans="1:2" x14ac:dyDescent="0.25">
      <c r="A13" t="s">
        <v>64</v>
      </c>
      <c r="B13" s="18">
        <f>B11+B12</f>
        <v>199679604973.1577</v>
      </c>
    </row>
    <row r="14" spans="1:2" x14ac:dyDescent="0.25">
      <c r="A14" s="19" t="s">
        <v>65</v>
      </c>
      <c r="B14" s="24">
        <f>B13/Assumptions!B31</f>
        <v>31.180315004271044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41524513004.21498</v>
      </c>
    </row>
    <row r="18" spans="1:2" x14ac:dyDescent="0.25">
      <c r="A18" t="s">
        <v>60</v>
      </c>
      <c r="B18" s="18">
        <f>B17*Assumptions!B13</f>
        <v>124573539012.64494</v>
      </c>
    </row>
    <row r="19" spans="1:2" x14ac:dyDescent="0.25">
      <c r="A19" t="s">
        <v>61</v>
      </c>
      <c r="B19" s="18">
        <f>B18/(1+Assumptions!B26)^(5-0.5*Assumptions!B32)</f>
        <v>92687526909.53488</v>
      </c>
    </row>
    <row r="20" spans="1:2" x14ac:dyDescent="0.25">
      <c r="A20" t="s">
        <v>62</v>
      </c>
      <c r="B20" s="18">
        <f>Forecast!B17+B19</f>
        <v>172638460431.14307</v>
      </c>
    </row>
    <row r="21" spans="1:2" x14ac:dyDescent="0.25">
      <c r="A21" t="s">
        <v>63</v>
      </c>
      <c r="B21" s="18">
        <f>-Assumptions!B30</f>
        <v>6575715000</v>
      </c>
    </row>
    <row r="22" spans="1:2" x14ac:dyDescent="0.25">
      <c r="A22" t="s">
        <v>64</v>
      </c>
      <c r="B22" s="18">
        <f>B20+B21</f>
        <v>179214175431.14307</v>
      </c>
    </row>
    <row r="23" spans="1:2" x14ac:dyDescent="0.25">
      <c r="A23" s="19" t="s">
        <v>65</v>
      </c>
      <c r="B23" s="25">
        <f>B22/Assumptions!B31</f>
        <v>27.984602853781208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10.47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36.50591280700054</v>
      </c>
    </row>
    <row r="29" spans="1:2" x14ac:dyDescent="0.25">
      <c r="A29" s="19" t="s">
        <v>73</v>
      </c>
      <c r="B29" s="12">
        <f>B28/B26-1</f>
        <v>2.486715645367769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0.047909</v>
      </c>
      <c r="B5" s="31">
        <v>43.933735450614186</v>
      </c>
      <c r="C5" s="31">
        <v>45.671747716971</v>
      </c>
      <c r="D5" s="31">
        <v>48.123410170036884</v>
      </c>
      <c r="E5" s="31">
        <v>51.88645315771719</v>
      </c>
      <c r="F5" s="31">
        <v>58.48467465190873</v>
      </c>
    </row>
    <row r="6" spans="1:6" x14ac:dyDescent="0.25">
      <c r="A6" s="30">
        <v>0.057909</v>
      </c>
      <c r="B6" s="31">
        <v>35.707649219853195</v>
      </c>
      <c r="C6" s="31">
        <v>36.056846126970306</v>
      </c>
      <c r="D6" s="31">
        <v>36.48213160482021</v>
      </c>
      <c r="E6" s="31">
        <v>37.02440029531026</v>
      </c>
      <c r="F6" s="31">
        <v>37.76024865352805</v>
      </c>
    </row>
    <row r="7" spans="1:6" x14ac:dyDescent="0.25">
      <c r="A7" s="30">
        <v>0.067909</v>
      </c>
      <c r="B7" s="31">
        <v>31.008013141037434</v>
      </c>
      <c r="C7" s="31">
        <v>31.094203883949998</v>
      </c>
      <c r="D7" s="32">
        <v>31.18039462686256</v>
      </c>
      <c r="E7" s="31">
        <v>31.266585369775136</v>
      </c>
      <c r="F7" s="31">
        <v>31.3527761126877</v>
      </c>
    </row>
    <row r="8" spans="1:6" x14ac:dyDescent="0.25">
      <c r="A8" s="30">
        <v>0.077909</v>
      </c>
      <c r="B8" s="31">
        <v>27.8296323981714</v>
      </c>
      <c r="C8" s="31">
        <v>27.901674271566407</v>
      </c>
      <c r="D8" s="31">
        <v>27.97371614496141</v>
      </c>
      <c r="E8" s="31">
        <v>28.045758018356416</v>
      </c>
      <c r="F8" s="31">
        <v>28.117799891751424</v>
      </c>
    </row>
    <row r="9" spans="1:6" x14ac:dyDescent="0.25">
      <c r="A9" s="30">
        <v>0.087909</v>
      </c>
      <c r="B9" s="31">
        <v>25.344575622768534</v>
      </c>
      <c r="C9" s="31">
        <v>25.405823658657933</v>
      </c>
      <c r="D9" s="31">
        <v>25.467071694547336</v>
      </c>
      <c r="E9" s="31">
        <v>25.52831973043673</v>
      </c>
      <c r="F9" s="31">
        <v>25.589567766326127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217146986000</v>
      </c>
      <c r="C5" s="18">
        <v>182837584000</v>
      </c>
      <c r="D5" s="18">
        <v>166624712000</v>
      </c>
      <c r="E5" s="18">
        <v>137402008000</v>
      </c>
      <c r="F5" s="8" t="s">
        <v>84</v>
      </c>
    </row>
    <row r="6" spans="1:6" x14ac:dyDescent="0.25">
      <c r="A6" t="s">
        <v>44</v>
      </c>
      <c r="B6" s="18">
        <v>6348713000</v>
      </c>
      <c r="C6" s="18">
        <v>7090656000</v>
      </c>
      <c r="D6" s="18">
        <v>1576457000</v>
      </c>
      <c r="E6" s="18">
        <v>453800000</v>
      </c>
      <c r="F6" s="8" t="s">
        <v>85</v>
      </c>
    </row>
    <row r="7" spans="1:6" x14ac:dyDescent="0.25">
      <c r="A7" t="s">
        <v>86</v>
      </c>
      <c r="B7" s="18">
        <v>12985963000</v>
      </c>
      <c r="C7" s="18">
        <v>12663830000</v>
      </c>
      <c r="D7" s="18">
        <v>12327926000</v>
      </c>
      <c r="E7" s="18">
        <v>10016489000</v>
      </c>
      <c r="F7" s="8" t="s">
        <v>87</v>
      </c>
    </row>
    <row r="8" spans="1:6" x14ac:dyDescent="0.25">
      <c r="A8" t="s">
        <v>88</v>
      </c>
      <c r="B8" s="18">
        <v>7648309000</v>
      </c>
      <c r="C8" s="18">
        <v>5618867000</v>
      </c>
      <c r="D8" s="18">
        <v>5480992000</v>
      </c>
      <c r="E8" s="18">
        <v>5005727000</v>
      </c>
      <c r="F8" s="8" t="s">
        <v>89</v>
      </c>
    </row>
    <row r="9" spans="1:6" x14ac:dyDescent="0.25">
      <c r="A9" t="s">
        <v>90</v>
      </c>
      <c r="B9" s="18">
        <v>1577487000</v>
      </c>
      <c r="C9" s="18">
        <v>-89562000</v>
      </c>
      <c r="D9" s="18">
        <v>-762472000</v>
      </c>
      <c r="E9" s="18">
        <v>-1567591000</v>
      </c>
      <c r="F9" s="8" t="s">
        <v>91</v>
      </c>
    </row>
    <row r="10" spans="1:6" x14ac:dyDescent="0.25">
      <c r="A10" t="s">
        <v>92</v>
      </c>
      <c r="B10" s="18">
        <v>22446732000</v>
      </c>
      <c r="C10" s="18">
        <v>23169733000</v>
      </c>
      <c r="D10" s="18">
        <v>27252527000</v>
      </c>
      <c r="E10" s="18">
        <v>23884895000</v>
      </c>
      <c r="F10" s="8" t="s">
        <v>93</v>
      </c>
    </row>
    <row r="11" spans="1:6" x14ac:dyDescent="0.25">
      <c r="A11" t="s">
        <v>94</v>
      </c>
      <c r="B11" s="18">
        <v>29022447000</v>
      </c>
      <c r="C11" s="18">
        <v>43144324000</v>
      </c>
      <c r="D11" s="18">
        <v>33806697000</v>
      </c>
      <c r="E11" s="18">
        <v>35427674000</v>
      </c>
      <c r="F11" s="8" t="s">
        <v>95</v>
      </c>
    </row>
    <row r="12" spans="1:6" x14ac:dyDescent="0.25">
      <c r="A12" t="s">
        <v>32</v>
      </c>
      <c r="B12" s="34">
        <v>6404027828</v>
      </c>
      <c r="C12" s="34">
        <v>6342010917</v>
      </c>
      <c r="D12" s="34">
        <v>6274565451</v>
      </c>
      <c r="E12" s="34">
        <v>6003731526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2026-09-19T00:09:59Z</dcterms:modified>
</cp:coreProperties>
</file>