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<sst xmlns="http://schemas.openxmlformats.org/spreadsheetml/2006/main" count="114" uniqueCount="102">
  <si>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ENN Energy Holdings Limited (2688.HK)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</si>
  <si>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</si>
  <si>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</si>
  <si>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</si>
  <si>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</si>
  <si>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</si>
  <si>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</si>
  <si>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</si>
  <si>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</si>
  <si>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</si>
  <si>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</si>
  <si>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</si>
  <si>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</si>
  <si>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</si>
  <si>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</si>
  <si>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</si>
  <si>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</si>
  <si>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</si>
  <si>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</si>
  <si>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</si>
  <si>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</si>
  <si>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</si>
  <si>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</si>
  <si>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</si>
  <si>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</si>
  <si>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</si>
  <si>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</si>
  <si>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</si>
  <si>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</si>
  <si>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</si>
  <si>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</si>
  <si>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</si>
  <si>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</si>
  <si>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</si>
  <si>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</si>
  <si>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</si>
  <si>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</si>
  <si>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</si>
  <si>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</si>
  <si>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</si>
  <si>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</si>
  <si>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</si>
  <si>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</si>
  <si>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</si>
  <si>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</si>
  <si>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</si>
  <si>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</si>
  <si>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</si>
  <si>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</si>
  <si>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</si>
  <si>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</si>
  <si>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</si>
  <si>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</si>
  <si>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</si>
  <si>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</si>
  <si>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</si>
  <si>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</si>
  <si>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</si>
  <si>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</si>
  <si>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</si>
  <si>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</si>
  <si>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</si>
  <si>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</si>
  <si>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</si>
  <si>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</si>
  <si>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</si>
  <si>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</si>
  <si>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</si>
  <si>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</si>
  <si>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</si>
  <si>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</si>
  <si>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</si>
  <si>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</si>
  <si>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</si>
  <si>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</si>
  <si>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</si>
  <si>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</si>
  <si>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</si>
  <si>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</si>
  <si>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</si>
  <si>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</si>
  <si>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</si>
  <si>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</si>
  <si>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</si>
  <si>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</si>
  <si>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</si>
  <si>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</si>
  <si>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</si>
  <si>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</si>
  <si>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</si>
  <si>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</si>
  <si>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</si>
  <si>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</si>
  <si>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</si>
  <si>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</si>
  <si>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</si>
  <si>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</si>
  <si>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</si>
  <si>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Reports in CNY, trades in HKD. Modelled in CNY, converted at the end.</t>
  </si>
  <si>
    <t>Adjusted: Capital expenditure runs at 6.2% of revenue against depreciation of 2.7%.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</si>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</sst>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0.005584335381460859</v>
      </c>
    </row>
    <row r="7" spans="1:2" x14ac:dyDescent="0.25">
      <c r="A7" t="s">
        <v>5</v>
      </c>
      <c r="B7" s="6">
        <v>0.08333770352906116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0.027005397969198434</v>
      </c>
    </row>
    <row r="10" spans="1:2" x14ac:dyDescent="0.25">
      <c r="A10" t="s">
        <v>8</v>
      </c>
      <c r="B10" s="6">
        <v>0.062214381971993804</v>
      </c>
    </row>
    <row r="11" spans="1:2" x14ac:dyDescent="0.25">
      <c r="A11" t="s">
        <v>9</v>
      </c>
      <c r="B11" s="6">
        <v>0.10585763068032572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5.633656973309758</v>
      </c>
    </row>
    <row r="14" spans="1:3" x14ac:dyDescent="0.25">
      <c r="A14" t="s">
        <v>12</v>
      </c>
      <c r="B14" s="6">
        <v>0.11690666649652759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0.8023499999999999</v>
      </c>
      <c r="C19" s="8" t="s">
        <v>19</v>
      </c>
    </row>
    <row r="20" spans="1:2" x14ac:dyDescent="0.25">
      <c r="A20" t="s">
        <v>20</v>
      </c>
      <c r="B20" s="10">
        <f>B17+B19*B18</f>
        <v>0.0881645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55236943872</v>
      </c>
    </row>
    <row r="23" spans="1:2" x14ac:dyDescent="0.25">
      <c r="A23" t="s">
        <v>24</v>
      </c>
      <c r="B23" s="11">
        <v>19738000000</v>
      </c>
    </row>
    <row r="24" spans="1:2" x14ac:dyDescent="0.25">
      <c r="A24" t="s">
        <v>25</v>
      </c>
      <c r="B24" s="10">
        <f>B22/(B22+B23)</f>
        <v>0.7367387158875711</v>
      </c>
    </row>
    <row r="25" spans="1:2" x14ac:dyDescent="0.25">
      <c r="A25" t="s">
        <v>26</v>
      </c>
      <c r="B25" s="10">
        <f>1-B24</f>
        <v>0.2632612841124289</v>
      </c>
    </row>
    <row r="26" spans="1:2" x14ac:dyDescent="0.25">
      <c r="A26" t="s">
        <v>27</v>
      </c>
      <c r="B26" s="12">
        <f>B24*B20+B25*B21*(1-B8)</f>
        <v>0.07198854202835388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111905000000</v>
      </c>
      <c r="C29" s="8" t="s">
        <v>30</v>
      </c>
    </row>
    <row r="30" spans="1:2" x14ac:dyDescent="0.25">
      <c r="A30" t="s">
        <v>31</v>
      </c>
      <c r="B30" s="11">
        <v>11674000000</v>
      </c>
    </row>
    <row r="31" spans="1:2" x14ac:dyDescent="0.25">
      <c r="A31" t="s">
        <v>32</v>
      </c>
      <c r="B31" s="13">
        <v>1111854664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0.005584335381460859</v>
      </c>
      <c r="C5" s="10">
        <f>Assumptions!B6</f>
        <v>0.005584335381460859</v>
      </c>
      <c r="D5" s="10">
        <f>Assumptions!B6</f>
        <v>0.005584335381460859</v>
      </c>
      <c r="E5" s="10">
        <f>Assumptions!B6</f>
        <v>0.005584335381460859</v>
      </c>
      <c r="F5" s="10">
        <f>Assumptions!B6</f>
        <v>0.005584335381460859</v>
      </c>
    </row>
    <row r="6" spans="1:6" x14ac:dyDescent="0.25">
      <c r="A6" t="s">
        <v>43</v>
      </c>
      <c r="B6" s="18">
        <f>Assumptions!B29*(1+B5)</f>
        <v>112529915050.86238</v>
      </c>
      <c r="C6" s="18">
        <f>B6*(1+C5)</f>
        <v>113158319836.95369</v>
      </c>
      <c r="D6" s="18">
        <f>C6*(1+D5)</f>
        <v>113790233846.12585</v>
      </c>
      <c r="E6" s="18">
        <f>D6*(1+E5)</f>
        <v>114425676675.05748</v>
      </c>
      <c r="F6" s="18">
        <f>E6*(1+F5)</f>
        <v>115064668029.8616</v>
      </c>
    </row>
    <row r="7" spans="1:6" x14ac:dyDescent="0.25">
      <c r="A7" t="s">
        <v>5</v>
      </c>
      <c r="B7" s="10">
        <f>Assumptions!B7</f>
        <v>0.08333770352906116</v>
      </c>
      <c r="C7" s="10">
        <f>Assumptions!B7</f>
        <v>0.08333770352906116</v>
      </c>
      <c r="D7" s="10">
        <f>Assumptions!B7</f>
        <v>0.08333770352906116</v>
      </c>
      <c r="E7" s="10">
        <f>Assumptions!B7</f>
        <v>0.08333770352906116</v>
      </c>
      <c r="F7" s="10">
        <f>Assumptions!B7</f>
        <v>0.08333770352906116</v>
      </c>
    </row>
    <row r="8" spans="1:6" x14ac:dyDescent="0.25">
      <c r="A8" t="s">
        <v>44</v>
      </c>
      <c r="B8" s="18">
        <f>B6*B7</f>
        <v>9377984698.659206</v>
      </c>
      <c r="C8" s="18">
        <f>C6*C7</f>
        <v>9430354510.418726</v>
      </c>
      <c r="D8" s="18">
        <f>D6*D7</f>
        <v>9483016772.770977</v>
      </c>
      <c r="E8" s="18">
        <f>E6*E7</f>
        <v>9535973118.858149</v>
      </c>
      <c r="F8" s="18">
        <f>F6*F7</f>
        <v>9589225190.942448</v>
      </c>
    </row>
    <row r="9" spans="1:6" x14ac:dyDescent="0.25">
      <c r="A9" t="s">
        <v>45</v>
      </c>
      <c r="B9" s="18">
        <f>B8*(1-Assumptions!B8)</f>
        <v>7830617223.380437</v>
      </c>
      <c r="C9" s="18">
        <f>C8*(1-Assumptions!B8)</f>
        <v>7874346016.1996355</v>
      </c>
      <c r="D9" s="18">
        <f>D8*(1-Assumptions!B8)</f>
        <v>7918319005.263765</v>
      </c>
      <c r="E9" s="18">
        <f>E8*(1-Assumptions!B8)</f>
        <v>7962537554.246553</v>
      </c>
      <c r="F9" s="18">
        <f>F8*(1-Assumptions!B8)</f>
        <v>8007003034.436943</v>
      </c>
    </row>
    <row r="10" spans="1:6" x14ac:dyDescent="0.25">
      <c r="A10" t="s">
        <v>46</v>
      </c>
      <c r="B10" s="18">
        <f>B6*Assumptions!B9</f>
        <v>3038915139.3886313</v>
      </c>
      <c r="C10" s="18">
        <f>C6*Assumptions!B9</f>
        <v>3055885460.722776</v>
      </c>
      <c r="D10" s="18">
        <f>D6*Assumptions!B9</f>
        <v>3072950550.022782</v>
      </c>
      <c r="E10" s="18">
        <f>E6*Assumptions!B9</f>
        <v>3090110936.504754</v>
      </c>
      <c r="F10" s="18">
        <f>F6*Assumptions!B9</f>
        <v>3107367152.3401165</v>
      </c>
    </row>
    <row r="11" spans="1:6" x14ac:dyDescent="0.25">
      <c r="A11" t="s">
        <v>47</v>
      </c>
      <c r="B11" s="18">
        <f>-B6*Assumptions!B10</f>
        <v>-7000979118.250367</v>
      </c>
      <c r="C11" s="18">
        <f>-C6*Assumptions!B10</f>
        <v>-7040074933.645281</v>
      </c>
      <c r="D11" s="18">
        <f>-D6*Assumptions!B10</f>
        <v>-7079389073.185371</v>
      </c>
      <c r="E11" s="18">
        <f>-E6*Assumptions!B10</f>
        <v>-7118922756.065888</v>
      </c>
      <c r="F11" s="18">
        <f>-F6*Assumptions!B10</f>
        <v>-7158677208.290474</v>
      </c>
    </row>
    <row r="12" spans="1:6" x14ac:dyDescent="0.25">
      <c r="A12" t="s">
        <v>48</v>
      </c>
      <c r="B12" s="18">
        <f>-(B6-Assumptions!B29)*Assumptions!B11</f>
        <v>-66152026.66076689</v>
      </c>
      <c r="C12" s="18">
        <f>-(C6-B6)*Assumptions!B11</f>
        <v>-66521441.763802834</v>
      </c>
      <c r="D12" s="18">
        <f>-(D6-C6)*Assumptions!B11</f>
        <v>-66892919.804671</v>
      </c>
      <c r="E12" s="18">
        <f>-(E6-D6)*Assumptions!B11</f>
        <v>-67266472.30350539</v>
      </c>
      <c r="F12" s="18">
        <f>-(F6-E6)*Assumptions!B11</f>
        <v>-67642110.84477583</v>
      </c>
    </row>
    <row r="13" spans="1:6" x14ac:dyDescent="0.25">
      <c r="A13" s="19" t="s">
        <v>49</v>
      </c>
      <c r="B13" s="20">
        <f>B9+B10+B11+B12</f>
        <v>3802401217.8579335</v>
      </c>
      <c r="C13" s="20">
        <f>C9+C10+C11+C12</f>
        <v>3823635101.513327</v>
      </c>
      <c r="D13" s="20">
        <f>D9+D10+D11+D12</f>
        <v>3844987562.2965045</v>
      </c>
      <c r="E13" s="20">
        <f>E9+E10+E11+E12</f>
        <v>3866459262.3819146</v>
      </c>
      <c r="F13" s="20">
        <f>F9+F10+F11+F12</f>
        <v>3888050867.64181</v>
      </c>
    </row>
    <row r="14" spans="1:6" x14ac:dyDescent="0.25">
      <c r="A14" t="s">
        <v>50</v>
      </c>
      <c r="B14" s="21">
        <f>1/(1+Assumptions!$B$26)^(1-0.5*Assumptions!$B$32)</f>
        <v>0.9658394232637422</v>
      </c>
      <c r="C14" s="21">
        <f>1/(1+Assumptions!$B$26)^(2-0.5*Assumptions!$B$32)</f>
        <v>0.9009792412857672</v>
      </c>
      <c r="D14" s="21">
        <f>1/(1+Assumptions!$B$26)^(3-0.5*Assumptions!$B$32)</f>
        <v>0.840474693489715</v>
      </c>
      <c r="E14" s="21">
        <f>1/(1+Assumptions!$B$26)^(4-0.5*Assumptions!$B$32)</f>
        <v>0.7840332807097155</v>
      </c>
      <c r="F14" s="21">
        <f>1/(1+Assumptions!$B$26)^(5-0.5*Assumptions!$B$32)</f>
        <v>0.7313821463298605</v>
      </c>
    </row>
    <row r="15" spans="1:6" x14ac:dyDescent="0.25">
      <c r="A15" s="19" t="s">
        <v>51</v>
      </c>
      <c r="B15" s="20">
        <f>B13*B14</f>
        <v>3672508999.2732573</v>
      </c>
      <c r="C15" s="20">
        <f>C13*C14</f>
        <v>3445015852.715105</v>
      </c>
      <c r="D15" s="20">
        <f>D13*D14</f>
        <v>3231614742.8929214</v>
      </c>
      <c r="E15" s="20">
        <f>E13*E14</f>
        <v>3031432740.215759</v>
      </c>
      <c r="F15" s="20">
        <f>F13*F14</f>
        <v>2843650988.6155434</v>
      </c>
    </row>
    <row r="17" spans="1:2" x14ac:dyDescent="0.25">
      <c r="A17" s="22" t="s">
        <v>52</v>
      </c>
      <c r="B17" s="23">
        <f>SUM(B15:F15)</f>
        <v>16224223323.712585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3888050867.64181</v>
      </c>
    </row>
    <row r="5" spans="1:2" x14ac:dyDescent="0.25">
      <c r="A5" t="s">
        <v>56</v>
      </c>
      <c r="B5" s="18">
        <f>IF(Assumptions!$B$33=0,B4,B4-Forecast!F11-Forecast!F10-Forecast!F12)</f>
        <v>8167815515.140305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0.21384580323092664</v>
      </c>
    </row>
    <row r="7" spans="1:2" x14ac:dyDescent="0.25">
      <c r="A7" t="s">
        <v>58</v>
      </c>
      <c r="B7" s="18">
        <f>-MAX(Forecast!F9,0)*B6</f>
        <v>-1746653069.4772034</v>
      </c>
    </row>
    <row r="8" spans="1:2" x14ac:dyDescent="0.25">
      <c r="A8" t="s">
        <v>59</v>
      </c>
      <c r="B8" s="18">
        <f>IF(OR(Assumptions!$B$33=0,Assumptions!B12&lt;=0),B5,MAX(B5+B7,0))</f>
        <v>6421162445.663101</v>
      </c>
    </row>
    <row r="9" spans="1:2" x14ac:dyDescent="0.25">
      <c r="A9" t="s">
        <v>60</v>
      </c>
      <c r="B9" s="18">
        <f>B8*(1+Assumptions!B12)/(Assumptions!B26-Assumptions!B12)</f>
        <v>140070136733.188</v>
      </c>
    </row>
    <row r="10" spans="1:2" x14ac:dyDescent="0.25">
      <c r="A10" t="s">
        <v>61</v>
      </c>
      <c r="B10" s="18">
        <f>B9/(1+Assumptions!B26)^(5-0.5*Assumptions!B32)</f>
        <v>102444797240.63608</v>
      </c>
    </row>
    <row r="11" spans="1:2" x14ac:dyDescent="0.25">
      <c r="A11" t="s">
        <v>62</v>
      </c>
      <c r="B11" s="18">
        <f>Forecast!B17+B10</f>
        <v>118669020564.34866</v>
      </c>
    </row>
    <row r="12" spans="1:2" x14ac:dyDescent="0.25">
      <c r="A12" t="s">
        <v>63</v>
      </c>
      <c r="B12" s="18">
        <f>-Assumptions!B30</f>
        <v>-11674000000</v>
      </c>
    </row>
    <row r="13" spans="1:2" x14ac:dyDescent="0.25">
      <c r="A13" t="s">
        <v>64</v>
      </c>
      <c r="B13" s="18">
        <f>B11+B12</f>
        <v>106995020564.34866</v>
      </c>
    </row>
    <row r="14" spans="1:2" x14ac:dyDescent="0.25">
      <c r="A14" s="19" t="s">
        <v>65</v>
      </c>
      <c r="B14" s="24">
        <f>B13/Assumptions!B31</f>
        <v>96.23112087278042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12696592343.282564</v>
      </c>
    </row>
    <row r="18" spans="1:2" x14ac:dyDescent="0.25">
      <c r="A18" t="s">
        <v>60</v>
      </c>
      <c r="B18" s="18">
        <f>B17*Assumptions!B13</f>
        <v>71528245992.0051</v>
      </c>
    </row>
    <row r="19" spans="1:2" x14ac:dyDescent="0.25">
      <c r="A19" t="s">
        <v>61</v>
      </c>
      <c r="B19" s="18">
        <f>B18/(1+Assumptions!B26)^(5-0.5*Assumptions!B32)</f>
        <v>52314482076.84293</v>
      </c>
    </row>
    <row r="20" spans="1:2" x14ac:dyDescent="0.25">
      <c r="A20" t="s">
        <v>62</v>
      </c>
      <c r="B20" s="18">
        <f>Forecast!B17+B19</f>
        <v>68538705400.55552</v>
      </c>
    </row>
    <row r="21" spans="1:2" x14ac:dyDescent="0.25">
      <c r="A21" t="s">
        <v>63</v>
      </c>
      <c r="B21" s="18">
        <f>-Assumptions!B30</f>
        <v>-11674000000</v>
      </c>
    </row>
    <row r="22" spans="1:2" x14ac:dyDescent="0.25">
      <c r="A22" t="s">
        <v>64</v>
      </c>
      <c r="B22" s="18">
        <f>B20+B21</f>
        <v>56864705400.55552</v>
      </c>
    </row>
    <row r="23" spans="1:2" x14ac:dyDescent="0.25">
      <c r="A23" s="19" t="s">
        <v>65</v>
      </c>
      <c r="B23" s="25">
        <f>B22/Assumptions!B31</f>
        <v>51.14400941214698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49.68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112.66739631785133</v>
      </c>
    </row>
    <row r="29" spans="1:2" x14ac:dyDescent="0.25">
      <c r="A29" s="19" t="s">
        <v>73</v>
      </c>
      <c r="B29" s="12">
        <f>B28/B26-1</f>
        <v>1.2678622447232555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0.051989</v>
      </c>
      <c r="B5" s="31">
        <v>144.6473558367855</v>
      </c>
      <c r="C5" s="31">
        <v>159.3332107756314</v>
      </c>
      <c r="D5" s="31">
        <v>179.36781550401403</v>
      </c>
      <c r="E5" s="31">
        <v>208.39986922803897</v>
      </c>
      <c r="F5" s="31">
        <v>254.37343781000726</v>
      </c>
    </row>
    <row r="6" spans="1:6" x14ac:dyDescent="0.25">
      <c r="A6" s="30">
        <v>0.061989</v>
      </c>
      <c r="B6" s="31">
        <v>109.94575922141426</v>
      </c>
      <c r="C6" s="31">
        <v>117.27059605619375</v>
      </c>
      <c r="D6" s="31">
        <v>126.51090711105624</v>
      </c>
      <c r="E6" s="31">
        <v>138.5648796785475</v>
      </c>
      <c r="F6" s="31">
        <v>154.99629613998695</v>
      </c>
    </row>
    <row r="7" spans="1:6" x14ac:dyDescent="0.25">
      <c r="A7" s="30">
        <v>0.071989</v>
      </c>
      <c r="B7" s="31">
        <v>87.50660002862128</v>
      </c>
      <c r="C7" s="31">
        <v>91.47093094717557</v>
      </c>
      <c r="D7" s="32">
        <v>96.23003093490391</v>
      </c>
      <c r="E7" s="31">
        <v>102.0678204480594</v>
      </c>
      <c r="F7" s="31">
        <v>109.42173609972718</v>
      </c>
    </row>
    <row r="8" spans="1:6" x14ac:dyDescent="0.25">
      <c r="A8" s="30">
        <v>0.081989</v>
      </c>
      <c r="B8" s="31">
        <v>71.83403635838214</v>
      </c>
      <c r="C8" s="31">
        <v>74.05952196913141</v>
      </c>
      <c r="D8" s="31">
        <v>76.63684717848963</v>
      </c>
      <c r="E8" s="31">
        <v>79.66752565240796</v>
      </c>
      <c r="F8" s="31">
        <v>83.29627847387182</v>
      </c>
    </row>
    <row r="9" spans="1:6" x14ac:dyDescent="0.25">
      <c r="A9" s="30">
        <v>0.091989</v>
      </c>
      <c r="B9" s="31">
        <v>60.28787087842009</v>
      </c>
      <c r="C9" s="31">
        <v>61.53741563384893</v>
      </c>
      <c r="D9" s="31">
        <v>62.94192543792452</v>
      </c>
      <c r="E9" s="31">
        <v>64.5388984875802</v>
      </c>
      <c r="F9" s="31">
        <v>66.37899278144202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111905000000</v>
      </c>
      <c r="C5" s="18">
        <v>109853000000</v>
      </c>
      <c r="D5" s="18">
        <v>113858000000</v>
      </c>
      <c r="E5" s="18">
        <v>110051000000</v>
      </c>
      <c r="F5" s="8" t="s">
        <v>84</v>
      </c>
    </row>
    <row r="6" spans="1:6" x14ac:dyDescent="0.25">
      <c r="A6" t="s">
        <v>44</v>
      </c>
      <c r="B6" s="18">
        <v>8391000000</v>
      </c>
      <c r="C6" s="18">
        <v>8698000000</v>
      </c>
      <c r="D6" s="18">
        <v>9393000000</v>
      </c>
      <c r="E6" s="18">
        <v>10641000000</v>
      </c>
      <c r="F6" s="8" t="s">
        <v>85</v>
      </c>
    </row>
    <row r="7" spans="1:6" x14ac:dyDescent="0.25">
      <c r="A7" t="s">
        <v>86</v>
      </c>
      <c r="B7" s="18">
        <v>3486000000</v>
      </c>
      <c r="C7" s="18">
        <v>3106000000</v>
      </c>
      <c r="D7" s="18">
        <v>2840000000</v>
      </c>
      <c r="E7" s="18">
        <v>2603000000</v>
      </c>
      <c r="F7" s="8" t="s">
        <v>87</v>
      </c>
    </row>
    <row r="8" spans="1:6" x14ac:dyDescent="0.25">
      <c r="A8" t="s">
        <v>88</v>
      </c>
      <c r="B8" s="18">
        <v>7092000000</v>
      </c>
      <c r="C8" s="18">
        <v>6734000000</v>
      </c>
      <c r="D8" s="18">
        <v>6987000000</v>
      </c>
      <c r="E8" s="18">
        <v>6913000000</v>
      </c>
      <c r="F8" s="8" t="s">
        <v>89</v>
      </c>
    </row>
    <row r="9" spans="1:6" x14ac:dyDescent="0.25">
      <c r="A9" t="s">
        <v>90</v>
      </c>
      <c r="B9" s="18">
        <v>-580000000</v>
      </c>
      <c r="C9" s="18">
        <v>-665000000</v>
      </c>
      <c r="D9" s="18">
        <v>403000000</v>
      </c>
      <c r="E9" s="18">
        <v>1485000000</v>
      </c>
      <c r="F9" s="8" t="s">
        <v>91</v>
      </c>
    </row>
    <row r="10" spans="1:6" x14ac:dyDescent="0.25">
      <c r="A10" t="s">
        <v>92</v>
      </c>
      <c r="B10" s="18">
        <v>19738000000</v>
      </c>
      <c r="C10" s="18">
        <v>20394000000</v>
      </c>
      <c r="D10" s="18">
        <v>22726000000</v>
      </c>
      <c r="E10" s="18">
        <v>20167000000</v>
      </c>
      <c r="F10" s="8" t="s">
        <v>93</v>
      </c>
    </row>
    <row r="11" spans="1:6" x14ac:dyDescent="0.25">
      <c r="A11" t="s">
        <v>94</v>
      </c>
      <c r="B11" s="18">
        <v>8064000000</v>
      </c>
      <c r="C11" s="18">
        <v>7693000000</v>
      </c>
      <c r="D11" s="18">
        <v>9789000000</v>
      </c>
      <c r="E11" s="18">
        <v>8082000000</v>
      </c>
      <c r="F11" s="8" t="s">
        <v>95</v>
      </c>
    </row>
    <row r="12" spans="1:6" x14ac:dyDescent="0.25">
      <c r="A12" t="s">
        <v>32</v>
      </c>
      <c r="B12" s="34">
        <v>1111854664</v>
      </c>
      <c r="C12" s="34">
        <v>1119281501</v>
      </c>
      <c r="D12" s="34">
        <v>1128775899</v>
      </c>
      <c r="E12" s="34">
        <v>1130430536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2026-09-19T00:10:16Z</dcterms:modified>
</cp:coreProperties>
</file>