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<sst xmlns="http://schemas.openxmlformats.org/spreadsheetml/2006/main" count="114" uniqueCount="102">
  <si>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Zijin Mining Group Company Limited (2899.HK)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</si>
  <si>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</si>
  <si>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</si>
  <si>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</si>
  <si>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</si>
  <si>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</si>
  <si>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</si>
  <si>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</si>
  <si>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</si>
  <si>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</si>
  <si>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</si>
  <si>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</si>
  <si>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</si>
  <si>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</si>
  <si>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</si>
  <si>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</si>
  <si>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</si>
  <si>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</si>
  <si>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</si>
  <si>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</si>
  <si>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</si>
  <si>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</si>
  <si>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</si>
  <si>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</si>
  <si>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</si>
  <si>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</si>
  <si>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</si>
  <si>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</si>
  <si>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</si>
  <si>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</si>
  <si>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</si>
  <si>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</si>
  <si>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</si>
  <si>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</si>
  <si>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</si>
  <si>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</si>
  <si>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</si>
  <si>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</si>
  <si>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</si>
  <si>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</si>
  <si>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</si>
  <si>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</si>
  <si>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</si>
  <si>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</si>
  <si>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</si>
  <si>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</si>
  <si>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</si>
  <si>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</si>
  <si>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</si>
  <si>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</si>
  <si>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</si>
  <si>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</si>
  <si>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</si>
  <si>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</si>
  <si>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</si>
  <si>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</si>
  <si>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</si>
  <si>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</si>
  <si>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</si>
  <si>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</si>
  <si>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</si>
  <si>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</si>
  <si>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</si>
  <si>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</si>
  <si>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</si>
  <si>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</si>
  <si>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</si>
  <si>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</si>
  <si>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</si>
  <si>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</si>
  <si>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</si>
  <si>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</si>
  <si>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</si>
  <si>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</si>
  <si>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</si>
  <si>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</si>
  <si>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</si>
  <si>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</si>
  <si>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</si>
  <si>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</si>
  <si>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</si>
  <si>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</si>
  <si>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</si>
  <si>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</si>
  <si>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</si>
  <si>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</si>
  <si>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</si>
  <si>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</si>
  <si>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</si>
  <si>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</si>
  <si>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</si>
  <si>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</si>
  <si>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</si>
  <si>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</si>
  <si>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</si>
  <si>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</si>
  <si>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</si>
  <si>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</si>
  <si>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</si>
  <si>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Adjusted: Capital expenditure runs at 9.1% of revenue against depreciation of 3.7%.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</si>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</sst>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0.08895616249219196</v>
      </c>
    </row>
    <row r="7" spans="1:2" x14ac:dyDescent="0.25">
      <c r="A7" t="s">
        <v>5</v>
      </c>
      <c r="B7" s="6">
        <v>0.14839229595005957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0.03743170892218179</v>
      </c>
    </row>
    <row r="10" spans="1:2" x14ac:dyDescent="0.25">
      <c r="A10" t="s">
        <v>8</v>
      </c>
      <c r="B10" s="6">
        <v>0.09146282369159087</v>
      </c>
    </row>
    <row r="11" spans="1:2" x14ac:dyDescent="0.25">
      <c r="A11" t="s">
        <v>9</v>
      </c>
      <c r="B11" s="6">
        <v>-0.018140764183280506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10.842357389554891</v>
      </c>
    </row>
    <row r="14" spans="1:3" x14ac:dyDescent="0.25">
      <c r="A14" t="s">
        <v>12</v>
      </c>
      <c r="B14" s="6">
        <v>0.1348306851112086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1.00067</v>
      </c>
      <c r="C19" s="8" t="s">
        <v>19</v>
      </c>
    </row>
    <row r="20" spans="1:2" x14ac:dyDescent="0.25">
      <c r="A20" t="s">
        <v>20</v>
      </c>
      <c r="B20" s="10">
        <f>B17+B19*B18</f>
        <v>0.10204690000000001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907806965760</v>
      </c>
    </row>
    <row r="23" spans="1:2" x14ac:dyDescent="0.25">
      <c r="A23" t="s">
        <v>24</v>
      </c>
      <c r="B23" s="11">
        <v>164492766171</v>
      </c>
    </row>
    <row r="24" spans="1:2" x14ac:dyDescent="0.25">
      <c r="A24" t="s">
        <v>25</v>
      </c>
      <c r="B24" s="10">
        <f>B22/(B22+B23)</f>
        <v>0.8465981467002878</v>
      </c>
    </row>
    <row r="25" spans="1:2" x14ac:dyDescent="0.25">
      <c r="A25" t="s">
        <v>26</v>
      </c>
      <c r="B25" s="10">
        <f>1-B24</f>
        <v>0.15340185329971223</v>
      </c>
    </row>
    <row r="26" spans="1:2" x14ac:dyDescent="0.25">
      <c r="A26" t="s">
        <v>27</v>
      </c>
      <c r="B26" s="12">
        <f>B24*B20+B25*B21*(1-B8)</f>
        <v>0.09049161393667791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349079082852</v>
      </c>
      <c r="C29" s="8" t="s">
        <v>30</v>
      </c>
    </row>
    <row r="30" spans="1:2" x14ac:dyDescent="0.25">
      <c r="A30" t="s">
        <v>31</v>
      </c>
      <c r="B30" s="11">
        <v>88931304767</v>
      </c>
    </row>
    <row r="31" spans="1:2" x14ac:dyDescent="0.25">
      <c r="A31" t="s">
        <v>32</v>
      </c>
      <c r="B31" s="13">
        <v>27108548579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0.08895616249219196</v>
      </c>
      <c r="C5" s="10">
        <f>Assumptions!B6</f>
        <v>0.08895616249219196</v>
      </c>
      <c r="D5" s="10">
        <f>Assumptions!B6</f>
        <v>0.08895616249219196</v>
      </c>
      <c r="E5" s="10">
        <f>Assumptions!B6</f>
        <v>0.08895616249219196</v>
      </c>
      <c r="F5" s="10">
        <f>Assumptions!B6</f>
        <v>0.08895616249219196</v>
      </c>
    </row>
    <row r="6" spans="1:6" x14ac:dyDescent="0.25">
      <c r="A6" t="s">
        <v>43</v>
      </c>
      <c r="B6" s="18">
        <f>Assumptions!B29*(1+B5)</f>
        <v>380131818468.80786</v>
      </c>
      <c r="C6" s="18">
        <f>B6*(1+C5)</f>
        <v>413946886280.97156</v>
      </c>
      <c r="D6" s="18">
        <f>C6*(1+D5)</f>
        <v>450770012760.1186</v>
      </c>
      <c r="E6" s="18">
        <f>D6*(1+E5)</f>
        <v>490868783261.8151</v>
      </c>
      <c r="F6" s="18">
        <f>E6*(1+F5)</f>
        <v>534534586507.9977</v>
      </c>
    </row>
    <row r="7" spans="1:6" x14ac:dyDescent="0.25">
      <c r="A7" t="s">
        <v>5</v>
      </c>
      <c r="B7" s="10">
        <f>Assumptions!B7</f>
        <v>0.14839229595005957</v>
      </c>
      <c r="C7" s="10">
        <f>Assumptions!B7</f>
        <v>0.14839229595005957</v>
      </c>
      <c r="D7" s="10">
        <f>Assumptions!B7</f>
        <v>0.14839229595005957</v>
      </c>
      <c r="E7" s="10">
        <f>Assumptions!B7</f>
        <v>0.14839229595005957</v>
      </c>
      <c r="F7" s="10">
        <f>Assumptions!B7</f>
        <v>0.14839229595005957</v>
      </c>
    </row>
    <row r="8" spans="1:6" x14ac:dyDescent="0.25">
      <c r="A8" t="s">
        <v>44</v>
      </c>
      <c r="B8" s="18">
        <f>B6*B7</f>
        <v>56408633306.25765</v>
      </c>
      <c r="C8" s="18">
        <f>C6*C7</f>
        <v>61426528856.61158</v>
      </c>
      <c r="D8" s="18">
        <f>D6*D7</f>
        <v>66890797138.911644</v>
      </c>
      <c r="E8" s="18">
        <f>E6*E7</f>
        <v>72841145758.43292</v>
      </c>
      <c r="F8" s="18">
        <f>F6*F7</f>
        <v>79320814556.63751</v>
      </c>
    </row>
    <row r="9" spans="1:6" x14ac:dyDescent="0.25">
      <c r="A9" t="s">
        <v>45</v>
      </c>
      <c r="B9" s="18">
        <f>B8*(1-Assumptions!B8)</f>
        <v>47101208810.725136</v>
      </c>
      <c r="C9" s="18">
        <f>C8*(1-Assumptions!B8)</f>
        <v>51291151595.27067</v>
      </c>
      <c r="D9" s="18">
        <f>D8*(1-Assumptions!B8)</f>
        <v>55853815610.99122</v>
      </c>
      <c r="E9" s="18">
        <f>E8*(1-Assumptions!B8)</f>
        <v>60822356708.29149</v>
      </c>
      <c r="F9" s="18">
        <f>F8*(1-Assumptions!B8)</f>
        <v>66232880154.79232</v>
      </c>
    </row>
    <row r="10" spans="1:6" x14ac:dyDescent="0.25">
      <c r="A10" t="s">
        <v>46</v>
      </c>
      <c r="B10" s="18">
        <f>B6*Assumptions!B9</f>
        <v>14228983580.984064</v>
      </c>
      <c r="C10" s="18">
        <f>C6*Assumptions!B9</f>
        <v>15494739356.512814</v>
      </c>
      <c r="D10" s="18">
        <f>D6*Assumptions!B9</f>
        <v>16873091908.48493</v>
      </c>
      <c r="E10" s="18">
        <f>E6*Assumptions!B9</f>
        <v>18374057414.041805</v>
      </c>
      <c r="F10" s="18">
        <f>F6*Assumptions!B9</f>
        <v>20008543051.006172</v>
      </c>
    </row>
    <row r="11" spans="1:6" x14ac:dyDescent="0.25">
      <c r="A11" t="s">
        <v>47</v>
      </c>
      <c r="B11" s="18">
        <f>-B6*Assumptions!B10</f>
        <v>-34767929492.1764</v>
      </c>
      <c r="C11" s="18">
        <f>-C6*Assumptions!B10</f>
        <v>-37860751077.59952</v>
      </c>
      <c r="D11" s="18">
        <f>-D6*Assumptions!B10</f>
        <v>-41228698202.53489</v>
      </c>
      <c r="E11" s="18">
        <f>-E6*Assumptions!B10</f>
        <v>-44896244979.18113</v>
      </c>
      <c r="F11" s="18">
        <f>-F6*Assumptions!B10</f>
        <v>-48890042642.83842</v>
      </c>
    </row>
    <row r="12" spans="1:6" x14ac:dyDescent="0.25">
      <c r="A12" t="s">
        <v>48</v>
      </c>
      <c r="B12" s="18">
        <f>-(B6-Assumptions!B29)*Assumptions!B11</f>
        <v>563320354.070267</v>
      </c>
      <c r="C12" s="18">
        <f>-(C6-B6)*Assumptions!B11</f>
        <v>613431171.0221007</v>
      </c>
      <c r="D12" s="18">
        <f>-(D6-C6)*Assumptions!B11</f>
        <v>667999653.9493185</v>
      </c>
      <c r="E12" s="18">
        <f>-(E6-D6)*Assumptions!B11</f>
        <v>727422339.7107613</v>
      </c>
      <c r="F12" s="18">
        <f>-(F6-E6)*Assumptions!B11</f>
        <v>792131039.5625222</v>
      </c>
    </row>
    <row r="13" spans="1:6" x14ac:dyDescent="0.25">
      <c r="A13" s="19" t="s">
        <v>49</v>
      </c>
      <c r="B13" s="20">
        <f>B9+B10+B11+B12</f>
        <v>27125583253.603065</v>
      </c>
      <c r="C13" s="20">
        <f>C9+C10+C11+C12</f>
        <v>29538571045.206062</v>
      </c>
      <c r="D13" s="20">
        <f>D9+D10+D11+D12</f>
        <v>32166208970.89058</v>
      </c>
      <c r="E13" s="20">
        <f>E9+E10+E11+E12</f>
        <v>35027591482.86293</v>
      </c>
      <c r="F13" s="20">
        <f>F9+F10+F11+F12</f>
        <v>38143511602.5226</v>
      </c>
    </row>
    <row r="14" spans="1:6" x14ac:dyDescent="0.25">
      <c r="A14" t="s">
        <v>50</v>
      </c>
      <c r="B14" s="21">
        <f>1/(1+Assumptions!$B$26)^(1-0.5*Assumptions!$B$32)</f>
        <v>0.9576103579150024</v>
      </c>
      <c r="C14" s="21">
        <f>1/(1+Assumptions!$B$26)^(2-0.5*Assumptions!$B$32)</f>
        <v>0.8781455498387798</v>
      </c>
      <c r="D14" s="21">
        <f>1/(1+Assumptions!$B$26)^(3-0.5*Assumptions!$B$32)</f>
        <v>0.8052749224440817</v>
      </c>
      <c r="E14" s="21">
        <f>1/(1+Assumptions!$B$26)^(4-0.5*Assumptions!$B$32)</f>
        <v>0.738451274776004</v>
      </c>
      <c r="F14" s="21">
        <f>1/(1+Assumptions!$B$26)^(5-0.5*Assumptions!$B$32)</f>
        <v>0.6771728139294835</v>
      </c>
    </row>
    <row r="15" spans="1:6" x14ac:dyDescent="0.25">
      <c r="A15" s="19" t="s">
        <v>51</v>
      </c>
      <c r="B15" s="20">
        <f>B13*B14</f>
        <v>25975739488.136024</v>
      </c>
      <c r="C15" s="20">
        <f>C13*C14</f>
        <v>25939164711.94434</v>
      </c>
      <c r="D15" s="20">
        <f>D13*D14</f>
        <v>25902641434.35404</v>
      </c>
      <c r="E15" s="20">
        <f>E13*E14</f>
        <v>25866169582.853233</v>
      </c>
      <c r="F15" s="20">
        <f>F13*F14</f>
        <v>25829749085.03213</v>
      </c>
    </row>
    <row r="17" spans="1:2" x14ac:dyDescent="0.25">
      <c r="A17" s="22" t="s">
        <v>52</v>
      </c>
      <c r="B17" s="23">
        <f>SUM(B15:F15)</f>
        <v>129513464302.31976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38143511602.5226</v>
      </c>
    </row>
    <row r="5" spans="1:2" x14ac:dyDescent="0.25">
      <c r="A5" t="s">
        <v>56</v>
      </c>
      <c r="B5" s="18">
        <f>IF(Assumptions!$B$33=0,B4,B4-Forecast!F11-Forecast!F10-Forecast!F12)</f>
        <v>70873339058.4904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0.18541773320650232</v>
      </c>
    </row>
    <row r="7" spans="1:2" x14ac:dyDescent="0.25">
      <c r="A7" t="s">
        <v>58</v>
      </c>
      <c r="B7" s="18">
        <f>-MAX(Forecast!F9,0)*B6</f>
        <v>-13141173873.001154</v>
      </c>
    </row>
    <row r="8" spans="1:2" x14ac:dyDescent="0.25">
      <c r="A8" t="s">
        <v>59</v>
      </c>
      <c r="B8" s="18">
        <f>IF(OR(Assumptions!$B$33=0,Assumptions!B12&lt;=0),B5,MAX(B5+B7,0))</f>
        <v>57732165185.48925</v>
      </c>
    </row>
    <row r="9" spans="1:2" x14ac:dyDescent="0.25">
      <c r="A9" t="s">
        <v>60</v>
      </c>
      <c r="B9" s="18">
        <f>B8*(1+Assumptions!B12)/(Assumptions!B26-Assumptions!B12)</f>
        <v>903557963502.6503</v>
      </c>
    </row>
    <row r="10" spans="1:2" x14ac:dyDescent="0.25">
      <c r="A10" t="s">
        <v>61</v>
      </c>
      <c r="B10" s="18">
        <f>B9/(1+Assumptions!B26)^(5-0.5*Assumptions!B32)</f>
        <v>611864888693.4832</v>
      </c>
    </row>
    <row r="11" spans="1:2" x14ac:dyDescent="0.25">
      <c r="A11" t="s">
        <v>62</v>
      </c>
      <c r="B11" s="18">
        <f>Forecast!B17+B10</f>
        <v>741378352995.803</v>
      </c>
    </row>
    <row r="12" spans="1:2" x14ac:dyDescent="0.25">
      <c r="A12" t="s">
        <v>63</v>
      </c>
      <c r="B12" s="18">
        <f>-Assumptions!B30</f>
        <v>-88931304767</v>
      </c>
    </row>
    <row r="13" spans="1:2" x14ac:dyDescent="0.25">
      <c r="A13" t="s">
        <v>64</v>
      </c>
      <c r="B13" s="18">
        <f>B11+B12</f>
        <v>652447048228.803</v>
      </c>
    </row>
    <row r="14" spans="1:2" x14ac:dyDescent="0.25">
      <c r="A14" s="19" t="s">
        <v>65</v>
      </c>
      <c r="B14" s="24">
        <f>B13/Assumptions!B31</f>
        <v>24.067944704875487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99329357607.64368</v>
      </c>
    </row>
    <row r="18" spans="1:2" x14ac:dyDescent="0.25">
      <c r="A18" t="s">
        <v>60</v>
      </c>
      <c r="B18" s="18">
        <f>B17*Assumptions!B13</f>
        <v>1076964394456.9758</v>
      </c>
    </row>
    <row r="19" spans="1:2" x14ac:dyDescent="0.25">
      <c r="A19" t="s">
        <v>61</v>
      </c>
      <c r="B19" s="18">
        <f>B18/(1+Assumptions!B26)^(5-0.5*Assumptions!B32)</f>
        <v>729291009496.2925</v>
      </c>
    </row>
    <row r="20" spans="1:2" x14ac:dyDescent="0.25">
      <c r="A20" t="s">
        <v>62</v>
      </c>
      <c r="B20" s="18">
        <f>Forecast!B17+B19</f>
        <v>858804473798.6123</v>
      </c>
    </row>
    <row r="21" spans="1:2" x14ac:dyDescent="0.25">
      <c r="A21" t="s">
        <v>63</v>
      </c>
      <c r="B21" s="18">
        <f>-Assumptions!B30</f>
        <v>-88931304767</v>
      </c>
    </row>
    <row r="22" spans="1:2" x14ac:dyDescent="0.25">
      <c r="A22" t="s">
        <v>64</v>
      </c>
      <c r="B22" s="18">
        <f>B20+B21</f>
        <v>769873169031.6123</v>
      </c>
    </row>
    <row r="23" spans="1:2" x14ac:dyDescent="0.25">
      <c r="A23" s="19" t="s">
        <v>65</v>
      </c>
      <c r="B23" s="25">
        <f>B22/Assumptions!B31</f>
        <v>28.39964547670416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34.14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28.17874966046822</v>
      </c>
    </row>
    <row r="29" spans="1:2" x14ac:dyDescent="0.25">
      <c r="A29" s="19" t="s">
        <v>73</v>
      </c>
      <c r="B29" s="12">
        <f>B28/B26-1</f>
        <v>-0.1746119021538307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0.070492</v>
      </c>
      <c r="B5" s="31">
        <v>33.004718390451515</v>
      </c>
      <c r="C5" s="31">
        <v>34.83009709479133</v>
      </c>
      <c r="D5" s="31">
        <v>37.041043015221085</v>
      </c>
      <c r="E5" s="31">
        <v>39.78038703787505</v>
      </c>
      <c r="F5" s="31">
        <v>43.27144629149671</v>
      </c>
    </row>
    <row r="6" spans="1:6" x14ac:dyDescent="0.25">
      <c r="A6" s="30">
        <v>0.080492</v>
      </c>
      <c r="B6" s="31">
        <v>27.02634593374217</v>
      </c>
      <c r="C6" s="31">
        <v>28.108935621267968</v>
      </c>
      <c r="D6" s="31">
        <v>29.374282719999965</v>
      </c>
      <c r="E6" s="31">
        <v>30.87668021037256</v>
      </c>
      <c r="F6" s="31">
        <v>32.694290315954916</v>
      </c>
    </row>
    <row r="7" spans="1:6" x14ac:dyDescent="0.25">
      <c r="A7" s="30">
        <v>0.090492</v>
      </c>
      <c r="B7" s="31">
        <v>22.65235307790141</v>
      </c>
      <c r="C7" s="31">
        <v>23.314521229490506</v>
      </c>
      <c r="D7" s="32">
        <v>24.06777147176895</v>
      </c>
      <c r="E7" s="31">
        <v>24.934689127760276</v>
      </c>
      <c r="F7" s="31">
        <v>25.94599954896909</v>
      </c>
    </row>
    <row r="8" spans="1:6" x14ac:dyDescent="0.25">
      <c r="A8" s="30">
        <v>0.100492</v>
      </c>
      <c r="B8" s="31">
        <v>19.31871134777286</v>
      </c>
      <c r="C8" s="31">
        <v>19.727748829306957</v>
      </c>
      <c r="D8" s="31">
        <v>20.18262247980578</v>
      </c>
      <c r="E8" s="31">
        <v>20.693085782423037</v>
      </c>
      <c r="F8" s="31">
        <v>21.271870746896962</v>
      </c>
    </row>
    <row r="9" spans="1:6" x14ac:dyDescent="0.25">
      <c r="A9" s="30">
        <v>0.110492</v>
      </c>
      <c r="B9" s="31">
        <v>16.69771505242459</v>
      </c>
      <c r="C9" s="31">
        <v>16.94743564243083</v>
      </c>
      <c r="D9" s="31">
        <v>17.219289642511043</v>
      </c>
      <c r="E9" s="31">
        <v>17.51740170047013</v>
      </c>
      <c r="F9" s="31">
        <v>17.846989201834784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349079082852</v>
      </c>
      <c r="C5" s="18">
        <v>303639957153</v>
      </c>
      <c r="D5" s="18">
        <v>293403242878</v>
      </c>
      <c r="E5" s="18">
        <v>270328998459</v>
      </c>
      <c r="F5" s="8" t="s">
        <v>84</v>
      </c>
    </row>
    <row r="6" spans="1:6" x14ac:dyDescent="0.25">
      <c r="A6" t="s">
        <v>44</v>
      </c>
      <c r="B6" s="18">
        <v>75714325570</v>
      </c>
      <c r="C6" s="18">
        <v>46612670788</v>
      </c>
      <c r="D6" s="18">
        <v>32214484088</v>
      </c>
      <c r="E6" s="18">
        <v>30645288999</v>
      </c>
      <c r="F6" s="8" t="s">
        <v>85</v>
      </c>
    </row>
    <row r="7" spans="1:6" x14ac:dyDescent="0.25">
      <c r="A7" t="s">
        <v>86</v>
      </c>
      <c r="B7" s="18">
        <v>16215707237</v>
      </c>
      <c r="C7" s="18">
        <v>10088602664</v>
      </c>
      <c r="D7" s="18">
        <v>9903701137</v>
      </c>
      <c r="E7" s="18">
        <v>9811293842</v>
      </c>
      <c r="F7" s="8" t="s">
        <v>87</v>
      </c>
    </row>
    <row r="8" spans="1:6" x14ac:dyDescent="0.25">
      <c r="A8" t="s">
        <v>88</v>
      </c>
      <c r="B8" s="18">
        <v>30982297763</v>
      </c>
      <c r="C8" s="18">
        <v>24797782052</v>
      </c>
      <c r="D8" s="18">
        <v>30428663664</v>
      </c>
      <c r="E8" s="18">
        <v>24794352673</v>
      </c>
      <c r="F8" s="8" t="s">
        <v>89</v>
      </c>
    </row>
    <row r="9" spans="1:6" x14ac:dyDescent="0.25">
      <c r="A9" t="s">
        <v>90</v>
      </c>
      <c r="B9" s="18">
        <v>-824300464</v>
      </c>
      <c r="C9" s="18">
        <v>-447860499</v>
      </c>
      <c r="D9" s="18">
        <v>1002260791</v>
      </c>
      <c r="E9" s="18">
        <v>5515297959</v>
      </c>
      <c r="F9" s="8" t="s">
        <v>91</v>
      </c>
    </row>
    <row r="10" spans="1:6" x14ac:dyDescent="0.25">
      <c r="A10" t="s">
        <v>92</v>
      </c>
      <c r="B10" s="18">
        <v>164492766171</v>
      </c>
      <c r="C10" s="18">
        <v>148022341616</v>
      </c>
      <c r="D10" s="18">
        <v>140854555323</v>
      </c>
      <c r="E10" s="18">
        <v>123179611937</v>
      </c>
      <c r="F10" s="8" t="s">
        <v>93</v>
      </c>
    </row>
    <row r="11" spans="1:6" x14ac:dyDescent="0.25">
      <c r="A11" t="s">
        <v>94</v>
      </c>
      <c r="B11" s="18">
        <v>75561461404</v>
      </c>
      <c r="C11" s="18">
        <v>37689147197</v>
      </c>
      <c r="D11" s="18">
        <v>23402567990</v>
      </c>
      <c r="E11" s="18">
        <v>25337545391</v>
      </c>
      <c r="F11" s="8" t="s">
        <v>95</v>
      </c>
    </row>
    <row r="12" spans="1:6" x14ac:dyDescent="0.25">
      <c r="A12" t="s">
        <v>32</v>
      </c>
      <c r="B12" s="34">
        <v>27108548579</v>
      </c>
      <c r="C12" s="34">
        <v>26708835364</v>
      </c>
      <c r="D12" s="34">
        <v>26399274464</v>
      </c>
      <c r="E12" s="34">
        <v>26371113128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2026-09-19T00:09:36Z</dcterms:modified>
</cp:coreProperties>
</file>