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<sst xmlns="http://schemas.openxmlformats.org/spreadsheetml/2006/main" count="114" uniqueCount="102">
  <si>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Meituan (3690.HK)</t>
  </si>
  <si>
    <t>DCF Studio - Base case</t>
  </si>
  <si>
    <t>Blue figures on a cream fill are inputs. Every other figure is a formula - change an input and the model reprices. Currency figures are CNY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</si>
  <si>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</si>
  <si>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</si>
  <si>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</si>
  <si>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</si>
  <si>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</si>
  <si>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</si>
  <si>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</si>
  <si>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</si>
  <si>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</si>
  <si>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</si>
  <si>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</si>
  <si>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</si>
  <si>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</si>
  <si>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</si>
  <si>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</si>
  <si>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</si>
  <si>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</si>
  <si>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</si>
  <si>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</si>
  <si>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</si>
  <si>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(CNY m)</t>
  </si>
  <si>
    <t>Total debt (CNY m)</t>
  </si>
  <si>
    <t>Equity weight</t>
  </si>
  <si>
    <t>Debt weight</t>
  </si>
  <si>
    <t>WACC</t>
  </si>
  <si>
    <t>Base year</t>
  </si>
  <si>
    <t>Revenue, last reported year (CNY m)</t>
  </si>
  <si>
    <t>Fiscal year ended 2025-12-31</t>
  </si>
  <si>
    <t>Net debt (CNY m)</t>
  </si>
  <si>
    <t>Diluted shares</t>
  </si>
  <si>
    <t>Mid-year discounting (1 = yes, 0 = no)</t>
  </si>
  <si>
    <t>Terminal year on a steady-state footing (1 = yes, 0 = no)</t>
  </si>
  <si>
    <t>Forecast cashflows (CNY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</si>
  <si>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</si>
  <si>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</si>
  <si>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</si>
  <si>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</si>
  <si>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</si>
  <si>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</si>
  <si>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</si>
  <si>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</si>
  <si>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</si>
  <si>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</si>
  <si>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</si>
  <si>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</si>
  <si>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</si>
  <si>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</si>
  <si>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</si>
  <si>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</si>
  <si>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</si>
  <si>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(CNY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</si>
  <si>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</si>
  <si>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</si>
  <si>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</si>
  <si>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</si>
  <si>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</si>
  <si>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</si>
  <si>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</si>
  <si>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</si>
  <si>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</si>
  <si>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</si>
  <si>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</si>
  <si>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</si>
  <si>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</si>
  <si>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</si>
  <si>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</si>
  <si>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</si>
  <si>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CNY to HKD</t>
  </si>
  <si>
    <t>CNY/HKD at 1.1708</t>
  </si>
  <si>
    <t>Value per share (HKD)</t>
  </si>
  <si>
    <t>Implied upside</t>
  </si>
  <si>
    <t>Value per share (CNY)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</si>
  <si>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</si>
  <si>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(CNY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</si>
  <si>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</si>
  <si>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</si>
  <si>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</si>
  <si>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</si>
  <si>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</si>
  <si>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</si>
  <si>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</si>
  <si>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</si>
  <si>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</si>
  <si>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</si>
  <si>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</si>
  <si>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</si>
  <si>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</si>
  <si>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</si>
  <si>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</si>
  <si>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</si>
  <si>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</si>
  <si>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</si>
  <si>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</si>
  <si>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</si>
  <si>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</si>
  <si>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CNY, trades in HKD. Modelled in CNY, converted at the end.</t>
  </si>
  <si>
    <t>Note: Risk-free rate is an assumption: HKD assumption - no free live source available for this market.</t>
  </si>
  <si>
    <t>No usable EV/EBITDA (EBITDA is not positive), so the exit multiple falls back to 8x.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</si>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</sst>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0.18375571282859937</v>
      </c>
    </row>
    <row r="7" spans="1:2" x14ac:dyDescent="0.25">
      <c r="A7" t="s">
        <v>5</v>
      </c>
      <c r="B7" s="6">
        <v>0.004624386300653036</v>
      </c>
    </row>
    <row r="8" spans="1:2" x14ac:dyDescent="0.25">
      <c r="A8" t="s">
        <v>6</v>
      </c>
      <c r="B8" s="6">
        <v>0.034524290168616786</v>
      </c>
    </row>
    <row r="9" spans="1:2" x14ac:dyDescent="0.25">
      <c r="A9" t="s">
        <v>7</v>
      </c>
      <c r="B9" s="6">
        <v>0.03150815000901527</v>
      </c>
    </row>
    <row r="10" spans="1:2" x14ac:dyDescent="0.25">
      <c r="A10" t="s">
        <v>8</v>
      </c>
      <c r="B10" s="6">
        <v>0.029967587520314507</v>
      </c>
    </row>
    <row r="11" spans="1:2" x14ac:dyDescent="0.25">
      <c r="A11" t="s">
        <v>9</v>
      </c>
      <c r="B11" s="6">
        <v>-0.106260114160487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0.09061152322714432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0.4760599999999999</v>
      </c>
      <c r="C19" s="8" t="s">
        <v>19</v>
      </c>
    </row>
    <row r="20" spans="1:2" x14ac:dyDescent="0.25">
      <c r="A20" t="s">
        <v>20</v>
      </c>
      <c r="B20" s="10">
        <f>B17+B19*B18</f>
        <v>0.0653242</v>
      </c>
    </row>
    <row r="21" spans="1:3" x14ac:dyDescent="0.25">
      <c r="A21" t="s">
        <v>21</v>
      </c>
      <c r="B21" s="6">
        <v>0.032</v>
      </c>
      <c r="C21" s="8" t="s">
        <v>22</v>
      </c>
    </row>
    <row r="22" spans="1:2" x14ac:dyDescent="0.25">
      <c r="A22" t="s">
        <v>23</v>
      </c>
      <c r="B22" s="11">
        <v>409384747008</v>
      </c>
    </row>
    <row r="23" spans="1:2" x14ac:dyDescent="0.25">
      <c r="A23" t="s">
        <v>24</v>
      </c>
      <c r="B23" s="11">
        <v>86619106000</v>
      </c>
    </row>
    <row r="24" spans="1:2" x14ac:dyDescent="0.25">
      <c r="A24" t="s">
        <v>25</v>
      </c>
      <c r="B24" s="10">
        <f>B22/(B22+B23)</f>
        <v>0.8253660622297566</v>
      </c>
    </row>
    <row r="25" spans="1:2" x14ac:dyDescent="0.25">
      <c r="A25" t="s">
        <v>26</v>
      </c>
      <c r="B25" s="10">
        <f>1-B24</f>
        <v>0.17463393777024339</v>
      </c>
    </row>
    <row r="26" spans="1:2" x14ac:dyDescent="0.25">
      <c r="A26" t="s">
        <v>27</v>
      </c>
      <c r="B26" s="12">
        <f>B24*B20+B25*B21*(1-B8)</f>
        <v>0.05931173212324908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364854746000</v>
      </c>
      <c r="C29" s="8" t="s">
        <v>30</v>
      </c>
    </row>
    <row r="30" spans="1:2" x14ac:dyDescent="0.25">
      <c r="A30" t="s">
        <v>31</v>
      </c>
      <c r="B30" s="11">
        <v>-80214598000</v>
      </c>
    </row>
    <row r="31" spans="1:2" x14ac:dyDescent="0.25">
      <c r="A31" t="s">
        <v>32</v>
      </c>
      <c r="B31" s="13">
        <v>6077059000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0.18375571282859937</v>
      </c>
      <c r="C5" s="10">
        <f>Assumptions!B6</f>
        <v>0.18375571282859937</v>
      </c>
      <c r="D5" s="10">
        <f>Assumptions!B6</f>
        <v>0.18375571282859937</v>
      </c>
      <c r="E5" s="10">
        <f>Assumptions!B6</f>
        <v>0.18375571282859937</v>
      </c>
      <c r="F5" s="10">
        <f>Assumptions!B6</f>
        <v>0.18375571282859937</v>
      </c>
    </row>
    <row r="6" spans="1:6" x14ac:dyDescent="0.25">
      <c r="A6" t="s">
        <v>43</v>
      </c>
      <c r="B6" s="18">
        <f>Assumptions!B29*(1+B5)</f>
        <v>431898889930.12756</v>
      </c>
      <c r="C6" s="18">
        <f>B6*(1+C5)</f>
        <v>511262778319.11896</v>
      </c>
      <c r="D6" s="18">
        <f>C6*(1+D5)</f>
        <v>605210234591.8788</v>
      </c>
      <c r="E6" s="18">
        <f>D6*(1+E5)</f>
        <v>716421072660.4733</v>
      </c>
      <c r="F6" s="18">
        <f>E6*(1+F5)</f>
        <v>848067537552.6283</v>
      </c>
    </row>
    <row r="7" spans="1:6" x14ac:dyDescent="0.25">
      <c r="A7" t="s">
        <v>5</v>
      </c>
      <c r="B7" s="10">
        <f>Assumptions!B7</f>
        <v>0.004624386300653036</v>
      </c>
      <c r="C7" s="10">
        <f>Assumptions!B7</f>
        <v>0.004624386300653036</v>
      </c>
      <c r="D7" s="10">
        <f>Assumptions!B7</f>
        <v>0.004624386300653036</v>
      </c>
      <c r="E7" s="10">
        <f>Assumptions!B7</f>
        <v>0.004624386300653036</v>
      </c>
      <c r="F7" s="10">
        <f>Assumptions!B7</f>
        <v>0.004624386300653036</v>
      </c>
    </row>
    <row r="8" spans="1:6" x14ac:dyDescent="0.25">
      <c r="A8" t="s">
        <v>44</v>
      </c>
      <c r="B8" s="18">
        <f>B6*B7</f>
        <v>1997267309.8601353</v>
      </c>
      <c r="C8" s="18">
        <f>C6*C7</f>
        <v>2364276588.0927434</v>
      </c>
      <c r="D8" s="18">
        <f>D6*D7</f>
        <v>2798725917.8616943</v>
      </c>
      <c r="E8" s="18">
        <f>E6*E7</f>
        <v>3313007793.910246</v>
      </c>
      <c r="F8" s="18">
        <f>F6*F7</f>
        <v>3921791902.6869283</v>
      </c>
    </row>
    <row r="9" spans="1:6" x14ac:dyDescent="0.25">
      <c r="A9" t="s">
        <v>45</v>
      </c>
      <c r="B9" s="18">
        <f>B8*(1-Assumptions!B8)</f>
        <v>1928313073.7102313</v>
      </c>
      <c r="C9" s="18">
        <f>C8*(1-Assumptions!B8)</f>
        <v>2282651617.126562</v>
      </c>
      <c r="D9" s="18">
        <f>D8*(1-Assumptions!B8)</f>
        <v>2702101892.1710086</v>
      </c>
      <c r="E9" s="18">
        <f>E8*(1-Assumptions!B8)</f>
        <v>3198628551.5023994</v>
      </c>
      <c r="F9" s="18">
        <f>F8*(1-Assumptions!B8)</f>
        <v>3786394821.057633</v>
      </c>
    </row>
    <row r="10" spans="1:6" x14ac:dyDescent="0.25">
      <c r="A10" t="s">
        <v>46</v>
      </c>
      <c r="B10" s="18">
        <f>B6*Assumptions!B9</f>
        <v>13608335012.645636</v>
      </c>
      <c r="C10" s="18">
        <f>C6*Assumptions!B9</f>
        <v>16108944313.304722</v>
      </c>
      <c r="D10" s="18">
        <f>D6*Assumptions!B9</f>
        <v>19069054858.51224</v>
      </c>
      <c r="E10" s="18">
        <f>E6*Assumptions!B9</f>
        <v>22573102627.00582</v>
      </c>
      <c r="F10" s="18">
        <f>F6*Assumptions!B9</f>
        <v>26721039190.984406</v>
      </c>
    </row>
    <row r="11" spans="1:6" x14ac:dyDescent="0.25">
      <c r="A11" t="s">
        <v>47</v>
      </c>
      <c r="B11" s="18">
        <f>-B6*Assumptions!B10</f>
        <v>-12942967783.90778</v>
      </c>
      <c r="C11" s="18">
        <f>-C6*Assumptions!B10</f>
        <v>-15321312055.157352</v>
      </c>
      <c r="D11" s="18">
        <f>-D6*Assumptions!B10</f>
        <v>-18136690673.3222</v>
      </c>
      <c r="E11" s="18">
        <f>-E6*Assumptions!B10</f>
        <v>-21469411196.35033</v>
      </c>
      <c r="F11" s="18">
        <f>-F6*Assumptions!B10</f>
        <v>-25414538154.746</v>
      </c>
    </row>
    <row r="12" spans="1:6" x14ac:dyDescent="0.25">
      <c r="A12" t="s">
        <v>48</v>
      </c>
      <c r="B12" s="18">
        <f>-(B6-Assumptions!B29)*Assumptions!B11</f>
        <v>7124118387.807477</v>
      </c>
      <c r="C12" s="18">
        <f>-(C6-B6)*Assumptions!B11</f>
        <v>8433215840.434375</v>
      </c>
      <c r="D12" s="18">
        <f>-(D6-C6)*Assumptions!B11</f>
        <v>9982867428.63082</v>
      </c>
      <c r="E12" s="18">
        <f>-(E6-D6)*Assumptions!B11</f>
        <v>11817276349.052284</v>
      </c>
      <c r="F12" s="18">
        <f>-(F6-E6)*Assumptions!B11</f>
        <v>13988768388.264938</v>
      </c>
    </row>
    <row r="13" spans="1:6" x14ac:dyDescent="0.25">
      <c r="A13" s="19" t="s">
        <v>49</v>
      </c>
      <c r="B13" s="20">
        <f>B9+B10+B11+B12</f>
        <v>9717798690.255566</v>
      </c>
      <c r="C13" s="20">
        <f>C9+C10+C11+C12</f>
        <v>11503499715.708305</v>
      </c>
      <c r="D13" s="20">
        <f>D9+D10+D11+D12</f>
        <v>13617333505.991869</v>
      </c>
      <c r="E13" s="20">
        <f>E9+E10+E11+E12</f>
        <v>16119596331.210175</v>
      </c>
      <c r="F13" s="20">
        <f>F9+F10+F11+F12</f>
        <v>19081664245.560978</v>
      </c>
    </row>
    <row r="14" spans="1:6" x14ac:dyDescent="0.25">
      <c r="A14" t="s">
        <v>50</v>
      </c>
      <c r="B14" s="21">
        <f>1/(1+Assumptions!$B$26)^(1-0.5*Assumptions!$B$32)</f>
        <v>0.9716013484819246</v>
      </c>
      <c r="C14" s="21">
        <f>1/(1+Assumptions!$B$26)^(2-0.5*Assumptions!$B$32)</f>
        <v>0.9172005926286491</v>
      </c>
      <c r="D14" s="21">
        <f>1/(1+Assumptions!$B$26)^(3-0.5*Assumptions!$B$32)</f>
        <v>0.8658457796839867</v>
      </c>
      <c r="E14" s="21">
        <f>1/(1+Assumptions!$B$26)^(4-0.5*Assumptions!$B$32)</f>
        <v>0.8173663648079439</v>
      </c>
      <c r="F14" s="21">
        <f>1/(1+Assumptions!$B$26)^(5-0.5*Assumptions!$B$32)</f>
        <v>0.7716013521059021</v>
      </c>
    </row>
    <row r="15" spans="1:6" x14ac:dyDescent="0.25">
      <c r="A15" s="19" t="s">
        <v>51</v>
      </c>
      <c r="B15" s="20">
        <f>B13*B14</f>
        <v>9441826311.728188</v>
      </c>
      <c r="C15" s="20">
        <f>C13*C14</f>
        <v>10551016756.551153</v>
      </c>
      <c r="D15" s="20">
        <f>D13*D14</f>
        <v>11790510746.712406</v>
      </c>
      <c r="E15" s="20">
        <f>E13*E14</f>
        <v>13175615855.41273</v>
      </c>
      <c r="F15" s="20">
        <f>F13*F14</f>
        <v>14723437932.305698</v>
      </c>
    </row>
    <row r="17" spans="1:2" x14ac:dyDescent="0.25">
      <c r="A17" s="22" t="s">
        <v>52</v>
      </c>
      <c r="B17" s="23">
        <f>SUM(B15:F15)</f>
        <v>59682407602.710175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19081664245.560978</v>
      </c>
    </row>
    <row r="5" spans="1:2" x14ac:dyDescent="0.25">
      <c r="A5" t="s">
        <v>56</v>
      </c>
      <c r="B5" s="18">
        <f>IF(Assumptions!$B$33=0,B4,B4-Forecast!F11-Forecast!F10-Forecast!F12)</f>
        <v>28565300899.87226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0.2759030982994313</v>
      </c>
    </row>
    <row r="7" spans="1:2" x14ac:dyDescent="0.25">
      <c r="A7" t="s">
        <v>58</v>
      </c>
      <c r="B7" s="18">
        <f>-MAX(Forecast!F9,0)*B6</f>
        <v>-7881255022.130291</v>
      </c>
    </row>
    <row r="8" spans="1:2" x14ac:dyDescent="0.25">
      <c r="A8" t="s">
        <v>59</v>
      </c>
      <c r="B8" s="18">
        <f>IF(OR(Assumptions!$B$33=0,Assumptions!B12&lt;=0),B5,MAX(B5+B7,0))</f>
        <v>20684045877.74197</v>
      </c>
    </row>
    <row r="9" spans="1:2" x14ac:dyDescent="0.25">
      <c r="A9" t="s">
        <v>60</v>
      </c>
      <c r="B9" s="18">
        <f>B8*(1+Assumptions!B12)/(Assumptions!B26-Assumptions!B12)</f>
        <v>617897894181.7969</v>
      </c>
    </row>
    <row r="10" spans="1:2" x14ac:dyDescent="0.25">
      <c r="A10" t="s">
        <v>61</v>
      </c>
      <c r="B10" s="18">
        <f>B9/(1+Assumptions!B26)^(5-0.5*Assumptions!B32)</f>
        <v>476770850614.0641</v>
      </c>
    </row>
    <row r="11" spans="1:2" x14ac:dyDescent="0.25">
      <c r="A11" t="s">
        <v>62</v>
      </c>
      <c r="B11" s="18">
        <f>Forecast!B17+B10</f>
        <v>536453258216.7743</v>
      </c>
    </row>
    <row r="12" spans="1:2" x14ac:dyDescent="0.25">
      <c r="A12" t="s">
        <v>63</v>
      </c>
      <c r="B12" s="18">
        <f>-Assumptions!B30</f>
        <v>80214598000</v>
      </c>
    </row>
    <row r="13" spans="1:2" x14ac:dyDescent="0.25">
      <c r="A13" t="s">
        <v>64</v>
      </c>
      <c r="B13" s="18">
        <f>B11+B12</f>
        <v>616667856216.7743</v>
      </c>
    </row>
    <row r="14" spans="1:2" x14ac:dyDescent="0.25">
      <c r="A14" s="19" t="s">
        <v>65</v>
      </c>
      <c r="B14" s="24">
        <f>B13/Assumptions!B31</f>
        <v>101.47471930365894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30642831093.671333</v>
      </c>
    </row>
    <row r="18" spans="1:2" x14ac:dyDescent="0.25">
      <c r="A18" t="s">
        <v>60</v>
      </c>
      <c r="B18" s="18">
        <f>B17*Assumptions!B13</f>
        <v>245142648749.37067</v>
      </c>
    </row>
    <row r="19" spans="1:2" x14ac:dyDescent="0.25">
      <c r="A19" t="s">
        <v>61</v>
      </c>
      <c r="B19" s="18">
        <f>B18/(1+Assumptions!B26)^(5-0.5*Assumptions!B32)</f>
        <v>189152399233.83664</v>
      </c>
    </row>
    <row r="20" spans="1:2" x14ac:dyDescent="0.25">
      <c r="A20" t="s">
        <v>62</v>
      </c>
      <c r="B20" s="18">
        <f>Forecast!B17+B19</f>
        <v>248834806836.5468</v>
      </c>
    </row>
    <row r="21" spans="1:2" x14ac:dyDescent="0.25">
      <c r="A21" t="s">
        <v>63</v>
      </c>
      <c r="B21" s="18">
        <f>-Assumptions!B30</f>
        <v>80214598000</v>
      </c>
    </row>
    <row r="22" spans="1:2" x14ac:dyDescent="0.25">
      <c r="A22" t="s">
        <v>64</v>
      </c>
      <c r="B22" s="18">
        <f>B20+B21</f>
        <v>329049404836.5468</v>
      </c>
    </row>
    <row r="23" spans="1:2" x14ac:dyDescent="0.25">
      <c r="A23" s="19" t="s">
        <v>65</v>
      </c>
      <c r="B23" s="25">
        <f>B22/Assumptions!B31</f>
        <v>54.14615932419725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73.2</v>
      </c>
    </row>
    <row r="27" spans="1:3" x14ac:dyDescent="0.25">
      <c r="A27" t="s">
        <v>70</v>
      </c>
      <c r="B27" s="27">
        <v>1.1708</v>
      </c>
      <c r="C27" s="8" t="s">
        <v>71</v>
      </c>
    </row>
    <row r="28" spans="1:2" x14ac:dyDescent="0.25">
      <c r="A28" t="s">
        <v>72</v>
      </c>
      <c r="B28" s="28">
        <f>B14*B27</f>
        <v>118.8066013607239</v>
      </c>
    </row>
    <row r="29" spans="1:2" x14ac:dyDescent="0.25">
      <c r="A29" s="19" t="s">
        <v>73</v>
      </c>
      <c r="B29" s="12">
        <f>B28/B26-1</f>
        <v>0.6230410021956816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0.039312</v>
      </c>
      <c r="B5" s="31">
        <v>161.21673385219125</v>
      </c>
      <c r="C5" s="31">
        <v>186.19683889717228</v>
      </c>
      <c r="D5" s="31">
        <v>228.47854082427006</v>
      </c>
      <c r="E5" s="31">
        <v>315.9316799719463</v>
      </c>
      <c r="F5" s="31">
        <v>605.6925175435122</v>
      </c>
    </row>
    <row r="6" spans="1:6" x14ac:dyDescent="0.25">
      <c r="A6" s="30">
        <v>0.049312</v>
      </c>
      <c r="B6" s="31">
        <v>116.71088506784072</v>
      </c>
      <c r="C6" s="31">
        <v>125.91926559878031</v>
      </c>
      <c r="D6" s="31">
        <v>138.82932338993066</v>
      </c>
      <c r="E6" s="31">
        <v>158.316222013328</v>
      </c>
      <c r="F6" s="31">
        <v>191.27296122328354</v>
      </c>
    </row>
    <row r="7" spans="1:6" x14ac:dyDescent="0.25">
      <c r="A7" s="30">
        <v>0.059312</v>
      </c>
      <c r="B7" s="31">
        <v>92.34505827544568</v>
      </c>
      <c r="C7" s="31">
        <v>96.35444439562954</v>
      </c>
      <c r="D7" s="32">
        <v>101.4740107710323</v>
      </c>
      <c r="E7" s="31">
        <v>108.27187639142892</v>
      </c>
      <c r="F7" s="31">
        <v>117.78351709899232</v>
      </c>
    </row>
    <row r="8" spans="1:6" x14ac:dyDescent="0.25">
      <c r="A8" s="30">
        <v>0.069312</v>
      </c>
      <c r="B8" s="31">
        <v>76.9922742410835</v>
      </c>
      <c r="C8" s="31">
        <v>78.81562720535523</v>
      </c>
      <c r="D8" s="31">
        <v>81.00716551525976</v>
      </c>
      <c r="E8" s="31">
        <v>83.70737503222605</v>
      </c>
      <c r="F8" s="31">
        <v>87.13862892324887</v>
      </c>
    </row>
    <row r="9" spans="1:6" x14ac:dyDescent="0.25">
      <c r="A9" s="30">
        <v>0.079312</v>
      </c>
      <c r="B9" s="31">
        <v>66.44630550443279</v>
      </c>
      <c r="C9" s="31">
        <v>67.2185096816487</v>
      </c>
      <c r="D9" s="31">
        <v>68.09901851877476</v>
      </c>
      <c r="E9" s="31">
        <v>69.12077673309389</v>
      </c>
      <c r="F9" s="31">
        <v>70.33159847557863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364854746000</v>
      </c>
      <c r="C5" s="18">
        <v>337591576000</v>
      </c>
      <c r="D5" s="18">
        <v>276744954000</v>
      </c>
      <c r="E5" s="18">
        <v>219954948000</v>
      </c>
      <c r="F5" s="8" t="s">
        <v>84</v>
      </c>
    </row>
    <row r="6" spans="1:6" x14ac:dyDescent="0.25">
      <c r="A6" t="s">
        <v>44</v>
      </c>
      <c r="B6" s="18">
        <v>-29840115000</v>
      </c>
      <c r="C6" s="18">
        <v>34026555000</v>
      </c>
      <c r="D6" s="18">
        <v>8001092000</v>
      </c>
      <c r="E6" s="18">
        <v>-6471002000</v>
      </c>
      <c r="F6" s="8" t="s">
        <v>85</v>
      </c>
    </row>
    <row r="7" spans="1:6" x14ac:dyDescent="0.25">
      <c r="A7" t="s">
        <v>86</v>
      </c>
      <c r="B7" s="18">
        <v>10199039000</v>
      </c>
      <c r="C7" s="18">
        <v>8421350000</v>
      </c>
      <c r="D7" s="18">
        <v>7996757000</v>
      </c>
      <c r="E7" s="18">
        <v>9730314000</v>
      </c>
      <c r="F7" s="8" t="s">
        <v>87</v>
      </c>
    </row>
    <row r="8" spans="1:6" x14ac:dyDescent="0.25">
      <c r="A8" t="s">
        <v>88</v>
      </c>
      <c r="B8" s="18">
        <v>13270708000</v>
      </c>
      <c r="C8" s="18">
        <v>10999490000</v>
      </c>
      <c r="D8" s="18">
        <v>6879551000</v>
      </c>
      <c r="E8" s="18">
        <v>5731304000</v>
      </c>
      <c r="F8" s="8" t="s">
        <v>89</v>
      </c>
    </row>
    <row r="9" spans="1:6" x14ac:dyDescent="0.25">
      <c r="A9" t="s">
        <v>90</v>
      </c>
      <c r="B9" s="18">
        <v>1055929000</v>
      </c>
      <c r="C9" s="18">
        <v>-6465569000</v>
      </c>
      <c r="D9" s="18">
        <v>-13475530000</v>
      </c>
      <c r="E9" s="18">
        <v>813484000</v>
      </c>
      <c r="F9" s="8" t="s">
        <v>91</v>
      </c>
    </row>
    <row r="10" spans="1:6" x14ac:dyDescent="0.25">
      <c r="A10" t="s">
        <v>92</v>
      </c>
      <c r="B10" s="18">
        <v>86619106000</v>
      </c>
      <c r="C10" s="18">
        <v>61509567000</v>
      </c>
      <c r="D10" s="18">
        <v>60620899000</v>
      </c>
      <c r="E10" s="18">
        <v>58087625000</v>
      </c>
      <c r="F10" s="8" t="s">
        <v>93</v>
      </c>
    </row>
    <row r="11" spans="1:6" x14ac:dyDescent="0.25">
      <c r="A11" t="s">
        <v>94</v>
      </c>
      <c r="B11" s="18">
        <v>166833704000</v>
      </c>
      <c r="C11" s="18">
        <v>168243258000</v>
      </c>
      <c r="D11" s="18">
        <v>145160433000</v>
      </c>
      <c r="E11" s="18">
        <v>112031876000</v>
      </c>
      <c r="F11" s="8" t="s">
        <v>95</v>
      </c>
    </row>
    <row r="12" spans="1:6" x14ac:dyDescent="0.25">
      <c r="A12" t="s">
        <v>32</v>
      </c>
      <c r="B12" s="34">
        <v>6077059000</v>
      </c>
      <c r="C12" s="34">
        <v>6225689000</v>
      </c>
      <c r="D12" s="34">
        <v>6300268000</v>
      </c>
      <c r="E12" s="34">
        <v>6156595000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2026-09-19T00:09:45Z</dcterms:modified>
</cp:coreProperties>
</file>