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<sst xmlns="http://schemas.openxmlformats.org/spreadsheetml/2006/main" count="114" uniqueCount="102">
  <si>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Hansoh Pharmaceutical Group Company Limited (3692.HK)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</si>
  <si>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</si>
  <si>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</si>
  <si>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</si>
  <si>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</si>
  <si>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</si>
  <si>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</si>
  <si>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</si>
  <si>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</si>
  <si>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</si>
  <si>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</si>
  <si>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</si>
  <si>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</si>
  <si>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</si>
  <si>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</si>
  <si>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</si>
  <si>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</si>
  <si>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</si>
  <si>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</si>
  <si>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</si>
  <si>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</si>
  <si>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</si>
  <si>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</si>
  <si>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</si>
  <si>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</si>
  <si>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</si>
  <si>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</si>
  <si>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</si>
  <si>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</si>
  <si>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</si>
  <si>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</si>
  <si>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</si>
  <si>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</si>
  <si>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</si>
  <si>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</si>
  <si>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</si>
  <si>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</si>
  <si>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</si>
  <si>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</si>
  <si>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</si>
  <si>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</si>
  <si>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</si>
  <si>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</si>
  <si>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</si>
  <si>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</si>
  <si>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</si>
  <si>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</si>
  <si>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</si>
  <si>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</si>
  <si>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</si>
  <si>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</si>
  <si>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</si>
  <si>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</si>
  <si>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</si>
  <si>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</si>
  <si>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</si>
  <si>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</si>
  <si>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</si>
  <si>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</si>
  <si>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</si>
  <si>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</si>
  <si>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</si>
  <si>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</si>
  <si>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</si>
  <si>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</si>
  <si>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</si>
  <si>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</si>
  <si>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</si>
  <si>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</si>
  <si>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</si>
  <si>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</si>
  <si>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</si>
  <si>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</si>
  <si>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</si>
  <si>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</si>
  <si>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</si>
  <si>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</si>
  <si>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</si>
  <si>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</si>
  <si>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</si>
  <si>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</si>
  <si>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</si>
  <si>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</si>
  <si>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</si>
  <si>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</si>
  <si>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</si>
  <si>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</si>
  <si>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</si>
  <si>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</si>
  <si>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</si>
  <si>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</si>
  <si>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</si>
  <si>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</si>
  <si>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</si>
  <si>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</si>
  <si>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</si>
  <si>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</si>
  <si>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</si>
  <si>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</si>
  <si>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</si>
  <si>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Current EV/EBITDA of 29.7x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</si>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</sst>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0.17003462516105583</v>
      </c>
    </row>
    <row r="7" spans="1:2" x14ac:dyDescent="0.25">
      <c r="A7" t="s">
        <v>5</v>
      </c>
      <c r="B7" s="6">
        <v>0.31910554380000056</v>
      </c>
    </row>
    <row r="8" spans="1:2" x14ac:dyDescent="0.25">
      <c r="A8" t="s">
        <v>6</v>
      </c>
      <c r="B8" s="6">
        <v>0.1350148763387861</v>
      </c>
    </row>
    <row r="9" spans="1:2" x14ac:dyDescent="0.25">
      <c r="A9" t="s">
        <v>7</v>
      </c>
      <c r="B9" s="6">
        <v>0.032969075867798216</v>
      </c>
    </row>
    <row r="10" spans="1:2" x14ac:dyDescent="0.25">
      <c r="A10" t="s">
        <v>8</v>
      </c>
      <c r="B10" s="6">
        <v>0.03559160570592919</v>
      </c>
    </row>
    <row r="11" spans="1:2" x14ac:dyDescent="0.25">
      <c r="A11" t="s">
        <v>9</v>
      </c>
      <c r="B11" s="6">
        <v>-0.3565753067663253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0.10553404514206814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0.7072099999999999</v>
      </c>
      <c r="C19" s="8" t="s">
        <v>19</v>
      </c>
    </row>
    <row r="20" spans="1:2" x14ac:dyDescent="0.25">
      <c r="A20" t="s">
        <v>20</v>
      </c>
      <c r="B20" s="10">
        <f>B17+B19*B18</f>
        <v>0.0815047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207959375872</v>
      </c>
    </row>
    <row r="23" spans="1:2" x14ac:dyDescent="0.25">
      <c r="A23" t="s">
        <v>24</v>
      </c>
      <c r="B23" s="11">
        <v>105093000</v>
      </c>
    </row>
    <row r="24" spans="1:2" x14ac:dyDescent="0.25">
      <c r="A24" t="s">
        <v>25</v>
      </c>
      <c r="B24" s="10">
        <f>B22/(B22+B23)</f>
        <v>0.9994949017457437</v>
      </c>
    </row>
    <row r="25" spans="1:2" x14ac:dyDescent="0.25">
      <c r="A25" t="s">
        <v>26</v>
      </c>
      <c r="B25" s="10">
        <f>1-B24</f>
        <v>0.0005050982542562643</v>
      </c>
    </row>
    <row r="26" spans="1:2" x14ac:dyDescent="0.25">
      <c r="A26" t="s">
        <v>27</v>
      </c>
      <c r="B26" s="12">
        <f>B24*B20+B25*B21*(1-B8)</f>
        <v>0.08147751299754573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15028324000</v>
      </c>
      <c r="C29" s="8" t="s">
        <v>30</v>
      </c>
    </row>
    <row r="30" spans="1:2" x14ac:dyDescent="0.25">
      <c r="A30" t="s">
        <v>31</v>
      </c>
      <c r="B30" s="11">
        <v>-31461187000</v>
      </c>
    </row>
    <row r="31" spans="1:2" x14ac:dyDescent="0.25">
      <c r="A31" t="s">
        <v>32</v>
      </c>
      <c r="B31" s="13">
        <v>5980697161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0.17003462516105583</v>
      </c>
      <c r="C5" s="10">
        <f>Assumptions!B6</f>
        <v>0.17003462516105583</v>
      </c>
      <c r="D5" s="10">
        <f>Assumptions!B6</f>
        <v>0.17003462516105583</v>
      </c>
      <c r="E5" s="10">
        <f>Assumptions!B6</f>
        <v>0.17003462516105583</v>
      </c>
      <c r="F5" s="10">
        <f>Assumptions!B6</f>
        <v>0.17003462516105583</v>
      </c>
    </row>
    <row r="6" spans="1:6" x14ac:dyDescent="0.25">
      <c r="A6" t="s">
        <v>43</v>
      </c>
      <c r="B6" s="18">
        <f>Assumptions!B29*(1+B5)</f>
        <v>17583659438.1389</v>
      </c>
      <c r="C6" s="18">
        <f>B6*(1+C5)</f>
        <v>20573490379.66251</v>
      </c>
      <c r="D6" s="18">
        <f>C6*(1+D5)</f>
        <v>24071696104.623013</v>
      </c>
      <c r="E6" s="18">
        <f>D6*(1+E5)</f>
        <v>28164717928.763435</v>
      </c>
      <c r="F6" s="18">
        <f>E6*(1+F5)</f>
        <v>32953695184.547596</v>
      </c>
    </row>
    <row r="7" spans="1:6" x14ac:dyDescent="0.25">
      <c r="A7" t="s">
        <v>5</v>
      </c>
      <c r="B7" s="10">
        <f>Assumptions!B7</f>
        <v>0.31910554380000056</v>
      </c>
      <c r="C7" s="10">
        <f>Assumptions!B7</f>
        <v>0.31910554380000056</v>
      </c>
      <c r="D7" s="10">
        <f>Assumptions!B7</f>
        <v>0.31910554380000056</v>
      </c>
      <c r="E7" s="10">
        <f>Assumptions!B7</f>
        <v>0.31910554380000056</v>
      </c>
      <c r="F7" s="10">
        <f>Assumptions!B7</f>
        <v>0.31910554380000056</v>
      </c>
    </row>
    <row r="8" spans="1:6" x14ac:dyDescent="0.25">
      <c r="A8" t="s">
        <v>44</v>
      </c>
      <c r="B8" s="18">
        <f>B6*B7</f>
        <v>5611043207.001327</v>
      </c>
      <c r="C8" s="18">
        <f>C6*C7</f>
        <v>6565114835.466285</v>
      </c>
      <c r="D8" s="18">
        <f>D6*D7</f>
        <v>7681411675.654081</v>
      </c>
      <c r="E8" s="18">
        <f>E6*E7</f>
        <v>8987517630.631681</v>
      </c>
      <c r="F8" s="18">
        <f>F6*F7</f>
        <v>10515706822.08452</v>
      </c>
    </row>
    <row r="9" spans="1:6" x14ac:dyDescent="0.25">
      <c r="A9" t="s">
        <v>45</v>
      </c>
      <c r="B9" s="18">
        <f>B8*(1-Assumptions!B8)</f>
        <v>4853468902.276457</v>
      </c>
      <c r="C9" s="18">
        <f>C8*(1-Assumptions!B8)</f>
        <v>5678726667.805875</v>
      </c>
      <c r="D9" s="18">
        <f>D8*(1-Assumptions!B8)</f>
        <v>6644306828.158339</v>
      </c>
      <c r="E9" s="18">
        <f>E8*(1-Assumptions!B8)</f>
        <v>7774069049.139285</v>
      </c>
      <c r="F9" s="18">
        <f>F8*(1-Assumptions!B8)</f>
        <v>9095929965.885849</v>
      </c>
    </row>
    <row r="10" spans="1:6" x14ac:dyDescent="0.25">
      <c r="A10" t="s">
        <v>46</v>
      </c>
      <c r="B10" s="18">
        <f>B6*Assumptions!B9</f>
        <v>579717002.0495275</v>
      </c>
      <c r="C10" s="18">
        <f>C6*Assumptions!B9</f>
        <v>678288965.19251</v>
      </c>
      <c r="D10" s="18">
        <f>D6*Assumptions!B9</f>
        <v>793621575.1398989</v>
      </c>
      <c r="E10" s="18">
        <f>E6*Assumptions!B9</f>
        <v>928564722.1885383</v>
      </c>
      <c r="F10" s="18">
        <f>F6*Assumptions!B9</f>
        <v>1086452876.6636465</v>
      </c>
    </row>
    <row r="11" spans="1:6" x14ac:dyDescent="0.25">
      <c r="A11" t="s">
        <v>47</v>
      </c>
      <c r="B11" s="18">
        <f>-B6*Assumptions!B10</f>
        <v>-625830673.5895802</v>
      </c>
      <c r="C11" s="18">
        <f>-C6*Assumptions!B10</f>
        <v>-732243557.5876755</v>
      </c>
      <c r="D11" s="18">
        <f>-D6*Assumptions!B10</f>
        <v>-856750316.4286939</v>
      </c>
      <c r="E11" s="18">
        <f>-E6*Assumptions!B10</f>
        <v>-1002427535.3392628</v>
      </c>
      <c r="F11" s="18">
        <f>-F6*Assumptions!B10</f>
        <v>-1172874925.5617955</v>
      </c>
    </row>
    <row r="12" spans="1:6" x14ac:dyDescent="0.25">
      <c r="A12" t="s">
        <v>48</v>
      </c>
      <c r="B12" s="18">
        <f>-(B6-Assumptions!B29)*Assumptions!B11</f>
        <v>911169517.7452408</v>
      </c>
      <c r="C12" s="18">
        <f>-(C6-B6)*Assumptions!B11</f>
        <v>1066099885.1532322</v>
      </c>
      <c r="D12" s="18">
        <f>-(D6-C6)*Assumptions!B11</f>
        <v>1247373779.5095067</v>
      </c>
      <c r="E12" s="18">
        <f>-(E6-D6)*Assumptions!B11</f>
        <v>1459470512.5441358</v>
      </c>
      <c r="F12" s="18">
        <f>-(F6-E6)*Assumptions!B11</f>
        <v>1707631034.0781918</v>
      </c>
    </row>
    <row r="13" spans="1:6" x14ac:dyDescent="0.25">
      <c r="A13" s="19" t="s">
        <v>49</v>
      </c>
      <c r="B13" s="20">
        <f>B9+B10+B11+B12</f>
        <v>5718524748.481645</v>
      </c>
      <c r="C13" s="20">
        <f>C9+C10+C11+C12</f>
        <v>6690871960.563942</v>
      </c>
      <c r="D13" s="20">
        <f>D9+D10+D11+D12</f>
        <v>7828551866.379051</v>
      </c>
      <c r="E13" s="20">
        <f>E9+E10+E11+E12</f>
        <v>9159676748.532696</v>
      </c>
      <c r="F13" s="20">
        <f>F9+F10+F11+F12</f>
        <v>10717138951.065891</v>
      </c>
    </row>
    <row r="14" spans="1:6" x14ac:dyDescent="0.25">
      <c r="A14" t="s">
        <v>50</v>
      </c>
      <c r="B14" s="21">
        <f>1/(1+Assumptions!$B$26)^(1-0.5*Assumptions!$B$32)</f>
        <v>0.961592911412766</v>
      </c>
      <c r="C14" s="21">
        <f>1/(1+Assumptions!$B$26)^(2-0.5*Assumptions!$B$32)</f>
        <v>0.8891473931321106</v>
      </c>
      <c r="D14" s="21">
        <f>1/(1+Assumptions!$B$26)^(3-0.5*Assumptions!$B$32)</f>
        <v>0.8221598530214915</v>
      </c>
      <c r="E14" s="21">
        <f>1/(1+Assumptions!$B$26)^(4-0.5*Assumptions!$B$32)</f>
        <v>0.7602190920666488</v>
      </c>
      <c r="F14" s="21">
        <f>1/(1+Assumptions!$B$26)^(5-0.5*Assumptions!$B$32)</f>
        <v>0.7029448906057596</v>
      </c>
    </row>
    <row r="15" spans="1:6" x14ac:dyDescent="0.25">
      <c r="A15" s="19" t="s">
        <v>51</v>
      </c>
      <c r="B15" s="20">
        <f>B13*B14</f>
        <v>5498892861.87842</v>
      </c>
      <c r="C15" s="20">
        <f>C13*C14</f>
        <v>5949171361.516163</v>
      </c>
      <c r="D15" s="20">
        <f>D13*D14</f>
        <v>6436321051.8333235</v>
      </c>
      <c r="E15" s="20">
        <f>E13*E14</f>
        <v>6963361141.39352</v>
      </c>
      <c r="F15" s="20">
        <f>F13*F14</f>
        <v>7533558067.563738</v>
      </c>
    </row>
    <row r="17" spans="1:2" x14ac:dyDescent="0.25">
      <c r="A17" s="22" t="s">
        <v>52</v>
      </c>
      <c r="B17" s="23">
        <f>SUM(B15:F15)</f>
        <v>32381304484.185165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10717138951.065891</v>
      </c>
    </row>
    <row r="5" spans="1:2" x14ac:dyDescent="0.25">
      <c r="A5" t="s">
        <v>56</v>
      </c>
      <c r="B5" s="18">
        <f>IF(Assumptions!$B$33=0,B4,B4-Forecast!F11-Forecast!F10-Forecast!F12)</f>
        <v>9124251759.175306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0.23689037946328528</v>
      </c>
    </row>
    <row r="7" spans="1:2" x14ac:dyDescent="0.25">
      <c r="A7" t="s">
        <v>58</v>
      </c>
      <c r="B7" s="18">
        <f>-MAX(Forecast!F9,0)*B6</f>
        <v>-2161447461.549587</v>
      </c>
    </row>
    <row r="8" spans="1:2" x14ac:dyDescent="0.25">
      <c r="A8" t="s">
        <v>59</v>
      </c>
      <c r="B8" s="18">
        <f>IF(OR(Assumptions!$B$33=0,Assumptions!B12&lt;=0),B5,MAX(B5+B7,0))</f>
        <v>6962804297.625719</v>
      </c>
    </row>
    <row r="9" spans="1:2" x14ac:dyDescent="0.25">
      <c r="A9" t="s">
        <v>60</v>
      </c>
      <c r="B9" s="18">
        <f>B8*(1+Assumptions!B12)/(Assumptions!B26-Assumptions!B12)</f>
        <v>126366655085.83035</v>
      </c>
    </row>
    <row r="10" spans="1:2" x14ac:dyDescent="0.25">
      <c r="A10" t="s">
        <v>61</v>
      </c>
      <c r="B10" s="18">
        <f>B9/(1+Assumptions!B26)^(5-0.5*Assumptions!B32)</f>
        <v>88828794535.52477</v>
      </c>
    </row>
    <row r="11" spans="1:2" x14ac:dyDescent="0.25">
      <c r="A11" t="s">
        <v>62</v>
      </c>
      <c r="B11" s="18">
        <f>Forecast!B17+B10</f>
        <v>121210099019.70993</v>
      </c>
    </row>
    <row r="12" spans="1:2" x14ac:dyDescent="0.25">
      <c r="A12" t="s">
        <v>63</v>
      </c>
      <c r="B12" s="18">
        <f>-Assumptions!B30</f>
        <v>31461187000</v>
      </c>
    </row>
    <row r="13" spans="1:2" x14ac:dyDescent="0.25">
      <c r="A13" t="s">
        <v>64</v>
      </c>
      <c r="B13" s="18">
        <f>B11+B12</f>
        <v>152671286019.70993</v>
      </c>
    </row>
    <row r="14" spans="1:2" x14ac:dyDescent="0.25">
      <c r="A14" s="19" t="s">
        <v>65</v>
      </c>
      <c r="B14" s="24">
        <f>B13/Assumptions!B31</f>
        <v>25.52733935690243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11602159698.748167</v>
      </c>
    </row>
    <row r="18" spans="1:2" x14ac:dyDescent="0.25">
      <c r="A18" t="s">
        <v>60</v>
      </c>
      <c r="B18" s="18">
        <f>B17*Assumptions!B13</f>
        <v>232043193974.96335</v>
      </c>
    </row>
    <row r="19" spans="1:2" x14ac:dyDescent="0.25">
      <c r="A19" t="s">
        <v>61</v>
      </c>
      <c r="B19" s="18">
        <f>B18/(1+Assumptions!B26)^(5-0.5*Assumptions!B32)</f>
        <v>163113577604.54166</v>
      </c>
    </row>
    <row r="20" spans="1:2" x14ac:dyDescent="0.25">
      <c r="A20" t="s">
        <v>62</v>
      </c>
      <c r="B20" s="18">
        <f>Forecast!B17+B19</f>
        <v>195494882088.7268</v>
      </c>
    </row>
    <row r="21" spans="1:2" x14ac:dyDescent="0.25">
      <c r="A21" t="s">
        <v>63</v>
      </c>
      <c r="B21" s="18">
        <f>-Assumptions!B30</f>
        <v>31461187000</v>
      </c>
    </row>
    <row r="22" spans="1:2" x14ac:dyDescent="0.25">
      <c r="A22" t="s">
        <v>64</v>
      </c>
      <c r="B22" s="18">
        <f>B20+B21</f>
        <v>226956069088.7268</v>
      </c>
    </row>
    <row r="23" spans="1:2" x14ac:dyDescent="0.25">
      <c r="A23" s="19" t="s">
        <v>65</v>
      </c>
      <c r="B23" s="25">
        <f>B22/Assumptions!B31</f>
        <v>37.94809584553161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34.3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29.887408919061368</v>
      </c>
    </row>
    <row r="29" spans="1:2" x14ac:dyDescent="0.25">
      <c r="A29" s="19" t="s">
        <v>73</v>
      </c>
      <c r="B29" s="12">
        <f>B28/B26-1</f>
        <v>-0.1286469702897559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0.061478</v>
      </c>
      <c r="B5" s="31">
        <v>32.80364823447651</v>
      </c>
      <c r="C5" s="31">
        <v>34.1994339848575</v>
      </c>
      <c r="D5" s="31">
        <v>35.96270812827176</v>
      </c>
      <c r="E5" s="31">
        <v>38.268587441372794</v>
      </c>
      <c r="F5" s="31">
        <v>41.42446211772891</v>
      </c>
    </row>
    <row r="6" spans="1:6" x14ac:dyDescent="0.25">
      <c r="A6" s="30">
        <v>0.071478</v>
      </c>
      <c r="B6" s="31">
        <v>28.050113613216716</v>
      </c>
      <c r="C6" s="31">
        <v>28.768020058068277</v>
      </c>
      <c r="D6" s="31">
        <v>29.62898948371186</v>
      </c>
      <c r="E6" s="31">
        <v>30.6847588280876</v>
      </c>
      <c r="F6" s="31">
        <v>32.015431133604125</v>
      </c>
    </row>
    <row r="7" spans="1:6" x14ac:dyDescent="0.25">
      <c r="A7" s="30">
        <v>0.081478</v>
      </c>
      <c r="B7" s="31">
        <v>24.72141786364262</v>
      </c>
      <c r="C7" s="31">
        <v>25.095662538376057</v>
      </c>
      <c r="D7" s="32">
        <v>25.527174709905697</v>
      </c>
      <c r="E7" s="31">
        <v>26.032641360086753</v>
      </c>
      <c r="F7" s="31">
        <v>26.63593006454148</v>
      </c>
    </row>
    <row r="8" spans="1:6" x14ac:dyDescent="0.25">
      <c r="A8" s="30">
        <v>0.091478</v>
      </c>
      <c r="B8" s="31">
        <v>22.258977268351398</v>
      </c>
      <c r="C8" s="31">
        <v>22.444537256519475</v>
      </c>
      <c r="D8" s="31">
        <v>22.650677307627266</v>
      </c>
      <c r="E8" s="31">
        <v>22.882418745466968</v>
      </c>
      <c r="F8" s="31">
        <v>23.146561045958013</v>
      </c>
    </row>
    <row r="9" spans="1:6" x14ac:dyDescent="0.25">
      <c r="A9" s="30">
        <v>0.101478</v>
      </c>
      <c r="B9" s="31">
        <v>20.362555656251836</v>
      </c>
      <c r="C9" s="31">
        <v>20.439009710049206</v>
      </c>
      <c r="D9" s="31">
        <v>20.519342834878604</v>
      </c>
      <c r="E9" s="31">
        <v>20.604369072339974</v>
      </c>
      <c r="F9" s="31">
        <v>20.69514736959598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15028324000</v>
      </c>
      <c r="C5" s="18">
        <v>12260814000</v>
      </c>
      <c r="D5" s="18">
        <v>10103806000</v>
      </c>
      <c r="E5" s="18">
        <v>9382410000</v>
      </c>
      <c r="F5" s="8" t="s">
        <v>84</v>
      </c>
    </row>
    <row r="6" spans="1:6" x14ac:dyDescent="0.25">
      <c r="A6" t="s">
        <v>44</v>
      </c>
      <c r="B6" s="18">
        <v>5547010000</v>
      </c>
      <c r="C6" s="18">
        <v>4031116000</v>
      </c>
      <c r="D6" s="18">
        <v>2839321000</v>
      </c>
      <c r="E6" s="18">
        <v>2791483000</v>
      </c>
      <c r="F6" s="8" t="s">
        <v>85</v>
      </c>
    </row>
    <row r="7" spans="1:6" x14ac:dyDescent="0.25">
      <c r="A7" t="s">
        <v>86</v>
      </c>
      <c r="B7" s="18">
        <v>393018000</v>
      </c>
      <c r="C7" s="18">
        <v>401349000</v>
      </c>
      <c r="D7" s="18">
        <v>366381000</v>
      </c>
      <c r="E7" s="18">
        <v>344602000</v>
      </c>
      <c r="F7" s="8" t="s">
        <v>87</v>
      </c>
    </row>
    <row r="8" spans="1:6" x14ac:dyDescent="0.25">
      <c r="A8" t="s">
        <v>88</v>
      </c>
      <c r="B8" s="18">
        <v>489461000</v>
      </c>
      <c r="C8" s="18">
        <v>524935000</v>
      </c>
      <c r="D8" s="18">
        <v>362524000</v>
      </c>
      <c r="E8" s="18">
        <v>291823000</v>
      </c>
      <c r="F8" s="8" t="s">
        <v>89</v>
      </c>
    </row>
    <row r="9" spans="1:6" x14ac:dyDescent="0.25">
      <c r="A9" t="s">
        <v>90</v>
      </c>
      <c r="B9" s="18">
        <v>-1547568000</v>
      </c>
      <c r="C9" s="18">
        <v>-36163000</v>
      </c>
      <c r="D9" s="18">
        <v>-257232000</v>
      </c>
      <c r="E9" s="18">
        <v>305782000</v>
      </c>
      <c r="F9" s="8" t="s">
        <v>91</v>
      </c>
    </row>
    <row r="10" spans="1:6" x14ac:dyDescent="0.25">
      <c r="A10" t="s">
        <v>92</v>
      </c>
      <c r="B10" s="18">
        <v>105093000</v>
      </c>
      <c r="C10" s="18">
        <v>117893000</v>
      </c>
      <c r="D10" s="18">
        <v>4303735000</v>
      </c>
      <c r="E10" s="18">
        <v>4377856000</v>
      </c>
      <c r="F10" s="8" t="s">
        <v>93</v>
      </c>
    </row>
    <row r="11" spans="1:6" x14ac:dyDescent="0.25">
      <c r="A11" t="s">
        <v>94</v>
      </c>
      <c r="B11" s="18">
        <v>31566280000</v>
      </c>
      <c r="C11" s="18">
        <v>23386271000</v>
      </c>
      <c r="D11" s="18">
        <v>24857066000</v>
      </c>
      <c r="E11" s="18">
        <v>21623452000</v>
      </c>
      <c r="F11" s="8" t="s">
        <v>95</v>
      </c>
    </row>
    <row r="12" spans="1:6" x14ac:dyDescent="0.25">
      <c r="A12" t="s">
        <v>32</v>
      </c>
      <c r="B12" s="34">
        <v>5980697161</v>
      </c>
      <c r="C12" s="34">
        <v>5949988766</v>
      </c>
      <c r="D12" s="34">
        <v>6019650142</v>
      </c>
      <c r="E12" s="34">
        <v>5929483310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