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<sst xmlns="http://schemas.openxmlformats.org/spreadsheetml/2006/main" count="116" uniqueCount="104">
  <si>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China Merchants Bank Co., Ltd. (3968.HK)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</si>
  <si>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</si>
  <si>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</si>
  <si>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</si>
  <si>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</si>
  <si>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</si>
  <si>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</si>
  <si>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</si>
  <si>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</si>
  <si>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</si>
  <si>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</si>
  <si>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</si>
  <si>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</si>
  <si>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</si>
  <si>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</si>
  <si>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</si>
  <si>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</si>
  <si>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</si>
  <si>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</si>
  <si>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</si>
  <si>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</si>
  <si>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</si>
  <si>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31.0% is not a credible funding cost, so risk-free + 2bp is assumed instead. Interest expense and reported debt are measuring different things - common for banks, whose interest expense includes deposits that total debt excludes.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</si>
  <si>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</si>
  <si>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</si>
  <si>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</si>
  <si>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</si>
  <si>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</si>
  <si>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</si>
  <si>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</si>
  <si>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</si>
  <si>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</si>
  <si>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</si>
  <si>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</si>
  <si>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</si>
  <si>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</si>
  <si>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</si>
  <si>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</si>
  <si>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</si>
  <si>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</si>
  <si>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</si>
  <si>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</si>
  <si>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</si>
  <si>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</si>
  <si>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</si>
  <si>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</si>
  <si>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</si>
  <si>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</si>
  <si>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</si>
  <si>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</si>
  <si>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</si>
  <si>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</si>
  <si>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</si>
  <si>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</si>
  <si>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</si>
  <si>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</si>
  <si>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</si>
  <si>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</si>
  <si>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</si>
  <si>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</si>
  <si>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</si>
  <si>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</si>
  <si>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</si>
  <si>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</si>
  <si>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</si>
  <si>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</si>
  <si>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</si>
  <si>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</si>
  <si>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</si>
  <si>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</si>
  <si>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</si>
  <si>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</si>
  <si>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</si>
  <si>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</si>
  <si>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</si>
  <si>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</si>
  <si>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</si>
  <si>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</si>
  <si>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</si>
  <si>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</si>
  <si>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</si>
  <si>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</si>
  <si>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</si>
  <si>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</si>
  <si>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</si>
  <si>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</si>
  <si>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</si>
  <si>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</si>
  <si>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</si>
  <si>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</si>
  <si>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</si>
  <si>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</si>
  <si>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</si>
  <si>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</si>
  <si>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</si>
  <si>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</si>
  <si>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</si>
  <si>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</si>
  <si>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</si>
  <si>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CNY, trades in HKD. Modelled in CNY, converted at the end.</t>
  </si>
  <si>
    <t>Adjusted: Capital expenditure runs at 9.5% of revenue against depreciation of 4.5%.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</si>
  <si>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</si>
  <si>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1.9x sits outside a defensible 3-20x band, so the exit multiple is capped at 3.0x.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</si>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</sst>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-0.01003338457672287</v>
      </c>
    </row>
    <row r="7" spans="1:2" x14ac:dyDescent="0.25">
      <c r="A7" t="s">
        <v>5</v>
      </c>
      <c r="B7" s="6">
        <v>0.5199049548855267</v>
      </c>
    </row>
    <row r="8" spans="1:2" x14ac:dyDescent="0.25">
      <c r="A8" t="s">
        <v>6</v>
      </c>
      <c r="B8" s="6">
        <v>0.15918552008717657</v>
      </c>
    </row>
    <row r="9" spans="1:2" x14ac:dyDescent="0.25">
      <c r="A9" t="s">
        <v>7</v>
      </c>
      <c r="B9" s="6">
        <v>0.045361759478880964</v>
      </c>
    </row>
    <row r="10" spans="1:2" x14ac:dyDescent="0.25">
      <c r="A10" t="s">
        <v>8</v>
      </c>
      <c r="B10" s="6">
        <v>0.09514983270656756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0.09631135651734335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0.63954</v>
      </c>
      <c r="C19" s="8" t="s">
        <v>19</v>
      </c>
    </row>
    <row r="20" spans="1:2" x14ac:dyDescent="0.25">
      <c r="A20" t="s">
        <v>20</v>
      </c>
      <c r="B20" s="10">
        <f>B17+B19*B18</f>
        <v>0.0767678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1291256201216</v>
      </c>
    </row>
    <row r="23" spans="1:2" x14ac:dyDescent="0.25">
      <c r="A23" t="s">
        <v>24</v>
      </c>
      <c r="B23" s="11">
        <v>405441000000</v>
      </c>
    </row>
    <row r="24" spans="1:2" x14ac:dyDescent="0.25">
      <c r="A24" t="s">
        <v>25</v>
      </c>
      <c r="B24" s="10">
        <f>B22/(B22+B23)</f>
        <v>0.7610410391969611</v>
      </c>
    </row>
    <row r="25" spans="1:2" x14ac:dyDescent="0.25">
      <c r="A25" t="s">
        <v>26</v>
      </c>
      <c r="B25" s="10">
        <f>1-B24</f>
        <v>0.2389589608030389</v>
      </c>
    </row>
    <row r="26" spans="1:2" x14ac:dyDescent="0.25">
      <c r="A26" t="s">
        <v>27</v>
      </c>
      <c r="B26" s="12">
        <f>B24*B20+B25*B21*(1-B8)</f>
        <v>0.0688712943149665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332059000000</v>
      </c>
      <c r="C29" s="8" t="s">
        <v>30</v>
      </c>
    </row>
    <row r="30" spans="1:2" x14ac:dyDescent="0.25">
      <c r="A30" t="s">
        <v>31</v>
      </c>
      <c r="B30" s="11">
        <v>-916081000000</v>
      </c>
    </row>
    <row r="31" spans="1:2" x14ac:dyDescent="0.25">
      <c r="A31" t="s">
        <v>32</v>
      </c>
      <c r="B31" s="13">
        <v>26347543860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-0.01003338457672287</v>
      </c>
      <c r="C5" s="10">
        <f>Assumptions!B6</f>
        <v>-0.01003338457672287</v>
      </c>
      <c r="D5" s="10">
        <f>Assumptions!B6</f>
        <v>-0.01003338457672287</v>
      </c>
      <c r="E5" s="10">
        <f>Assumptions!B6</f>
        <v>-0.01003338457672287</v>
      </c>
      <c r="F5" s="10">
        <f>Assumptions!B6</f>
        <v>-0.01003338457672287</v>
      </c>
    </row>
    <row r="6" spans="1:6" x14ac:dyDescent="0.25">
      <c r="A6" t="s">
        <v>43</v>
      </c>
      <c r="B6" s="18">
        <f>Assumptions!B29*(1+B5)</f>
        <v>328727324350.83795</v>
      </c>
      <c r="C6" s="18">
        <f>B6*(1+C5)</f>
        <v>325429076684.7489</v>
      </c>
      <c r="D6" s="18">
        <f>C6*(1+D5)</f>
        <v>322163921605.923</v>
      </c>
      <c r="E6" s="18">
        <f>D6*(1+E5)</f>
        <v>318931527083.70557</v>
      </c>
      <c r="F6" s="18">
        <f>E6*(1+F5)</f>
        <v>315731564418.83325</v>
      </c>
    </row>
    <row r="7" spans="1:6" x14ac:dyDescent="0.25">
      <c r="A7" t="s">
        <v>5</v>
      </c>
      <c r="B7" s="10">
        <f>Assumptions!B7</f>
        <v>0.5199049548855267</v>
      </c>
      <c r="C7" s="10">
        <f>Assumptions!B7</f>
        <v>0.5199049548855267</v>
      </c>
      <c r="D7" s="10">
        <f>Assumptions!B7</f>
        <v>0.5199049548855267</v>
      </c>
      <c r="E7" s="10">
        <f>Assumptions!B7</f>
        <v>0.5199049548855267</v>
      </c>
      <c r="F7" s="10">
        <f>Assumptions!B7</f>
        <v>0.5199049548855267</v>
      </c>
    </row>
    <row r="8" spans="1:6" x14ac:dyDescent="0.25">
      <c r="A8" t="s">
        <v>44</v>
      </c>
      <c r="B8" s="18">
        <f>B6*B7</f>
        <v>170906964736.2623</v>
      </c>
      <c r="C8" s="18">
        <f>C6*C7</f>
        <v>169192189432.223</v>
      </c>
      <c r="D8" s="18">
        <f>D6*D7</f>
        <v>167494619128.27173</v>
      </c>
      <c r="E8" s="18">
        <f>E6*E7</f>
        <v>165814081200.02606</v>
      </c>
      <c r="F8" s="18">
        <f>F6*F7</f>
        <v>164150404755.11026</v>
      </c>
    </row>
    <row r="9" spans="1:6" x14ac:dyDescent="0.25">
      <c r="A9" t="s">
        <v>45</v>
      </c>
      <c r="B9" s="18">
        <f>B8*(1-Assumptions!B8)</f>
        <v>143701050668.19965</v>
      </c>
      <c r="C9" s="18">
        <f>C8*(1-Assumptions!B8)</f>
        <v>142259242762.76648</v>
      </c>
      <c r="D9" s="18">
        <f>D8*(1-Assumptions!B8)</f>
        <v>140831901070.53424</v>
      </c>
      <c r="E9" s="18">
        <f>E8*(1-Assumptions!B8)</f>
        <v>139418880446.42258</v>
      </c>
      <c r="F9" s="18">
        <f>F8*(1-Assumptions!B8)</f>
        <v>138020037201.6475</v>
      </c>
    </row>
    <row r="10" spans="1:6" x14ac:dyDescent="0.25">
      <c r="A10" t="s">
        <v>46</v>
      </c>
      <c r="B10" s="18">
        <f>B6*Assumptions!B9</f>
        <v>14911649821.3388</v>
      </c>
      <c r="C10" s="18">
        <f>C6*Assumptions!B9</f>
        <v>14762035504.007889</v>
      </c>
      <c r="D10" s="18">
        <f>D6*Assumptions!B9</f>
        <v>14613922324.66094</v>
      </c>
      <c r="E10" s="18">
        <f>E6*Assumptions!B9</f>
        <v>14467295221.803263</v>
      </c>
      <c r="F10" s="18">
        <f>F6*Assumptions!B9</f>
        <v>14322139285.057924</v>
      </c>
    </row>
    <row r="11" spans="1:6" x14ac:dyDescent="0.25">
      <c r="A11" t="s">
        <v>47</v>
      </c>
      <c r="B11" s="18">
        <f>-B6*Assumptions!B10</f>
        <v>-31278349918.059803</v>
      </c>
      <c r="C11" s="18">
        <f>-C6*Assumptions!B10</f>
        <v>-30964522204.406605</v>
      </c>
      <c r="D11" s="18">
        <f>-D6*Assumptions!B10</f>
        <v>-30653843244.895317</v>
      </c>
      <c r="E11" s="18">
        <f>-E6*Assumptions!B10</f>
        <v>-30346281446.864704</v>
      </c>
      <c r="F11" s="18">
        <f>-F6*Assumptions!B10</f>
        <v>-30041805534.634842</v>
      </c>
    </row>
    <row r="12" spans="1:6" x14ac:dyDescent="0.25">
      <c r="A12" t="s">
        <v>48</v>
      </c>
      <c r="B12" s="18">
        <f>-(B6-Assumptions!B29)*Assumptions!B11</f>
        <v>3331675649.1620483</v>
      </c>
      <c r="C12" s="18">
        <f>-(C6-B6)*Assumptions!B11</f>
        <v>3298247666.0890503</v>
      </c>
      <c r="D12" s="18">
        <f>-(D6-C6)*Assumptions!B11</f>
        <v>3265155078.8259277</v>
      </c>
      <c r="E12" s="18">
        <f>-(E6-D6)*Assumptions!B11</f>
        <v>3232394522.217407</v>
      </c>
      <c r="F12" s="18">
        <f>-(F6-E6)*Assumptions!B11</f>
        <v>3199962664.8723145</v>
      </c>
    </row>
    <row r="13" spans="1:6" x14ac:dyDescent="0.25">
      <c r="A13" s="19" t="s">
        <v>49</v>
      </c>
      <c r="B13" s="20">
        <f>B9+B10+B11+B12</f>
        <v>130666026220.6407</v>
      </c>
      <c r="C13" s="20">
        <f>C9+C10+C11+C12</f>
        <v>129355003728.4568</v>
      </c>
      <c r="D13" s="20">
        <f>D9+D10+D11+D12</f>
        <v>128057135229.1258</v>
      </c>
      <c r="E13" s="20">
        <f>E9+E10+E11+E12</f>
        <v>126772288743.57854</v>
      </c>
      <c r="F13" s="20">
        <f>F9+F10+F11+F12</f>
        <v>125500333616.94289</v>
      </c>
    </row>
    <row r="14" spans="1:6" x14ac:dyDescent="0.25">
      <c r="A14" t="s">
        <v>50</v>
      </c>
      <c r="B14" s="21">
        <f>1/(1+Assumptions!$B$26)^(1-0.5*Assumptions!$B$32)</f>
        <v>0.9672467811024017</v>
      </c>
      <c r="C14" s="21">
        <f>1/(1+Assumptions!$B$26)^(2-0.5*Assumptions!$B$32)</f>
        <v>0.9049235265713677</v>
      </c>
      <c r="D14" s="21">
        <f>1/(1+Assumptions!$B$26)^(3-0.5*Assumptions!$B$32)</f>
        <v>0.8466159877100339</v>
      </c>
      <c r="E14" s="21">
        <f>1/(1+Assumptions!$B$26)^(4-0.5*Assumptions!$B$32)</f>
        <v>0.7920654172424241</v>
      </c>
      <c r="F14" s="21">
        <f>1/(1+Assumptions!$B$26)^(5-0.5*Assumptions!$B$32)</f>
        <v>0.7410297399277191</v>
      </c>
    </row>
    <row r="15" spans="1:6" x14ac:dyDescent="0.25">
      <c r="A15" s="19" t="s">
        <v>51</v>
      </c>
      <c r="B15" s="20">
        <f>B13*B14</f>
        <v>126386293261.35674</v>
      </c>
      <c r="C15" s="20">
        <f>C13*C14</f>
        <v>117056386153.60754</v>
      </c>
      <c r="D15" s="20">
        <f>D13*D14</f>
        <v>108415218025.32372</v>
      </c>
      <c r="E15" s="20">
        <f>E13*E14</f>
        <v>100411945778.4596</v>
      </c>
      <c r="F15" s="20">
        <f>F13*F14</f>
        <v>92999479581.00517</v>
      </c>
    </row>
    <row r="17" spans="1:2" x14ac:dyDescent="0.25">
      <c r="A17" s="22" t="s">
        <v>52</v>
      </c>
      <c r="B17" s="23">
        <f>SUM(B15:F15)</f>
        <v>545269322799.7528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125500333616.94289</v>
      </c>
    </row>
    <row r="5" spans="1:2" x14ac:dyDescent="0.25">
      <c r="A5" t="s">
        <v>56</v>
      </c>
      <c r="B5" s="18">
        <f>IF(Assumptions!$B$33=0,B4,B4-Forecast!F11-Forecast!F10-Forecast!F12)</f>
        <v>138775664460.1126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0.25957478851933835</v>
      </c>
    </row>
    <row r="7" spans="1:2" x14ac:dyDescent="0.25">
      <c r="A7" t="s">
        <v>58</v>
      </c>
      <c r="B7" s="18">
        <f>-MAX(Forecast!F9,0)*B6</f>
        <v>-36022663753.86439</v>
      </c>
    </row>
    <row r="8" spans="1:2" x14ac:dyDescent="0.25">
      <c r="A8" t="s">
        <v>59</v>
      </c>
      <c r="B8" s="18">
        <f>IF(OR(Assumptions!$B$33=0,Assumptions!B12&lt;=0),B5,MAX(B5+B7,0))</f>
        <v>102753000706.24823</v>
      </c>
    </row>
    <row r="9" spans="1:2" x14ac:dyDescent="0.25">
      <c r="A9" t="s">
        <v>60</v>
      </c>
      <c r="B9" s="18">
        <f>B8*(1+Assumptions!B12)/(Assumptions!B26-Assumptions!B12)</f>
        <v>2400700215675.5234</v>
      </c>
    </row>
    <row r="10" spans="1:2" x14ac:dyDescent="0.25">
      <c r="A10" t="s">
        <v>61</v>
      </c>
      <c r="B10" s="18">
        <f>B9/(1+Assumptions!B26)^(5-0.5*Assumptions!B32)</f>
        <v>1778990256466.4524</v>
      </c>
    </row>
    <row r="11" spans="1:2" x14ac:dyDescent="0.25">
      <c r="A11" t="s">
        <v>62</v>
      </c>
      <c r="B11" s="18">
        <f>Forecast!B17+B10</f>
        <v>2324259579266.205</v>
      </c>
    </row>
    <row r="12" spans="1:2" x14ac:dyDescent="0.25">
      <c r="A12" t="s">
        <v>63</v>
      </c>
      <c r="B12" s="18">
        <f>-Assumptions!B30</f>
        <v>916081000000</v>
      </c>
    </row>
    <row r="13" spans="1:2" x14ac:dyDescent="0.25">
      <c r="A13" t="s">
        <v>64</v>
      </c>
      <c r="B13" s="18">
        <f>B11+B12</f>
        <v>3240340579266.205</v>
      </c>
    </row>
    <row r="14" spans="1:2" x14ac:dyDescent="0.25">
      <c r="A14" s="19" t="s">
        <v>65</v>
      </c>
      <c r="B14" s="24">
        <f>B13/Assumptions!B31</f>
        <v>122.98454066474055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178472544040.16818</v>
      </c>
    </row>
    <row r="18" spans="1:2" x14ac:dyDescent="0.25">
      <c r="A18" t="s">
        <v>60</v>
      </c>
      <c r="B18" s="18">
        <f>B17*Assumptions!B13</f>
        <v>535417632120.5045</v>
      </c>
    </row>
    <row r="19" spans="1:2" x14ac:dyDescent="0.25">
      <c r="A19" t="s">
        <v>61</v>
      </c>
      <c r="B19" s="18">
        <f>B18/(1+Assumptions!B26)^(5-0.5*Assumptions!B32)</f>
        <v>396760388682.97266</v>
      </c>
    </row>
    <row r="20" spans="1:2" x14ac:dyDescent="0.25">
      <c r="A20" t="s">
        <v>62</v>
      </c>
      <c r="B20" s="18">
        <f>Forecast!B17+B19</f>
        <v>942029711482.7255</v>
      </c>
    </row>
    <row r="21" spans="1:2" x14ac:dyDescent="0.25">
      <c r="A21" t="s">
        <v>63</v>
      </c>
      <c r="B21" s="18">
        <f>-Assumptions!B30</f>
        <v>916081000000.0001</v>
      </c>
    </row>
    <row r="22" spans="1:2" x14ac:dyDescent="0.25">
      <c r="A22" t="s">
        <v>64</v>
      </c>
      <c r="B22" s="18">
        <f>B20+B21</f>
        <v>1858110711482.7256</v>
      </c>
    </row>
    <row r="23" spans="1:2" x14ac:dyDescent="0.25">
      <c r="A23" s="19" t="s">
        <v>65</v>
      </c>
      <c r="B23" s="25">
        <f>B22/Assumptions!B31</f>
        <v>70.52310915036183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51.2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143.99030021027824</v>
      </c>
    </row>
    <row r="29" spans="1:2" x14ac:dyDescent="0.25">
      <c r="A29" s="19" t="s">
        <v>73</v>
      </c>
      <c r="B29" s="12">
        <f>B28/B26-1</f>
        <v>1.8123105509819966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0.048871</v>
      </c>
      <c r="B5" s="31">
        <v>163.91687550355797</v>
      </c>
      <c r="C5" s="31">
        <v>175.36274360948403</v>
      </c>
      <c r="D5" s="31">
        <v>191.5110802366895</v>
      </c>
      <c r="E5" s="31">
        <v>216.0997385895192</v>
      </c>
      <c r="F5" s="31">
        <v>258.2560220984658</v>
      </c>
    </row>
    <row r="6" spans="1:6" x14ac:dyDescent="0.25">
      <c r="A6" s="30">
        <v>0.058871</v>
      </c>
      <c r="B6" s="31">
        <v>135.45984567208097</v>
      </c>
      <c r="C6" s="31">
        <v>140.585417083455</v>
      </c>
      <c r="D6" s="31">
        <v>147.1618424687096</v>
      </c>
      <c r="E6" s="31">
        <v>155.94291662567676</v>
      </c>
      <c r="F6" s="31">
        <v>168.31399130232217</v>
      </c>
    </row>
    <row r="7" spans="1:6" x14ac:dyDescent="0.25">
      <c r="A7" s="30">
        <v>0.068871</v>
      </c>
      <c r="B7" s="31">
        <v>117.5504538460929</v>
      </c>
      <c r="C7" s="31">
        <v>120.01049398616092</v>
      </c>
      <c r="D7" s="32">
        <v>122.98509067140382</v>
      </c>
      <c r="E7" s="31">
        <v>126.67280705115206</v>
      </c>
      <c r="F7" s="31">
        <v>131.38945297505813</v>
      </c>
    </row>
    <row r="8" spans="1:6" x14ac:dyDescent="0.25">
      <c r="A8" s="30">
        <v>0.078871</v>
      </c>
      <c r="B8" s="31">
        <v>105.23522748421857</v>
      </c>
      <c r="C8" s="31">
        <v>106.40189087563901</v>
      </c>
      <c r="D8" s="31">
        <v>107.74905025724568</v>
      </c>
      <c r="E8" s="31">
        <v>109.33210535183525</v>
      </c>
      <c r="F8" s="31">
        <v>111.23171161961481</v>
      </c>
    </row>
    <row r="9" spans="1:6" x14ac:dyDescent="0.25">
      <c r="A9" s="30">
        <v>0.088871</v>
      </c>
      <c r="B9" s="31">
        <v>96.24288357216702</v>
      </c>
      <c r="C9" s="31">
        <v>96.72614090122873</v>
      </c>
      <c r="D9" s="31">
        <v>97.25587413335153</v>
      </c>
      <c r="E9" s="31">
        <v>97.84392506748421</v>
      </c>
      <c r="F9" s="31">
        <v>98.50653185643901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332059000000</v>
      </c>
      <c r="C5" s="18">
        <v>334856000000</v>
      </c>
      <c r="D5" s="18">
        <v>336647000000</v>
      </c>
      <c r="E5" s="18">
        <v>342258000000</v>
      </c>
      <c r="F5" s="8" t="s">
        <v>84</v>
      </c>
    </row>
    <row r="6" spans="1:6" x14ac:dyDescent="0.25">
      <c r="A6" t="s">
        <v>44</v>
      </c>
      <c r="B6" s="18">
        <v>178993000000</v>
      </c>
      <c r="C6" s="18">
        <v>178652000000</v>
      </c>
      <c r="D6" s="18">
        <v>176618000000</v>
      </c>
      <c r="E6" s="18">
        <v>165113000000</v>
      </c>
      <c r="F6" s="8" t="s">
        <v>85</v>
      </c>
    </row>
    <row r="7" spans="1:6" x14ac:dyDescent="0.25">
      <c r="A7" t="s">
        <v>86</v>
      </c>
      <c r="B7" s="18">
        <v>15392000000</v>
      </c>
      <c r="C7" s="18">
        <v>15590000000</v>
      </c>
      <c r="D7" s="18">
        <v>15439000000</v>
      </c>
      <c r="E7" s="18">
        <v>14606000000</v>
      </c>
      <c r="F7" s="8" t="s">
        <v>87</v>
      </c>
    </row>
    <row r="8" spans="1:6" x14ac:dyDescent="0.25">
      <c r="A8" t="s">
        <v>88</v>
      </c>
      <c r="B8" s="18">
        <v>28141000000</v>
      </c>
      <c r="C8" s="18">
        <v>34930000000</v>
      </c>
      <c r="D8" s="18">
        <v>30161000000</v>
      </c>
      <c r="E8" s="18">
        <v>34892000000</v>
      </c>
      <c r="F8" s="8" t="s">
        <v>89</v>
      </c>
    </row>
    <row r="9" spans="1:6" x14ac:dyDescent="0.25">
      <c r="A9" t="s">
        <v>90</v>
      </c>
      <c r="B9" s="18">
        <v>-360362000000</v>
      </c>
      <c r="C9" s="18">
        <v>-357240000000</v>
      </c>
      <c r="D9" s="18">
        <v>-253745000000</v>
      </c>
      <c r="E9" s="18">
        <v>-446852000000</v>
      </c>
      <c r="F9" s="8" t="s">
        <v>91</v>
      </c>
    </row>
    <row r="10" spans="1:6" x14ac:dyDescent="0.25">
      <c r="A10" t="s">
        <v>92</v>
      </c>
      <c r="B10" s="18">
        <v>405441000000</v>
      </c>
      <c r="C10" s="18">
        <v>471075000000</v>
      </c>
      <c r="D10" s="18">
        <v>436552000000</v>
      </c>
      <c r="E10" s="18">
        <v>443861000000</v>
      </c>
      <c r="F10" s="8" t="s">
        <v>93</v>
      </c>
    </row>
    <row r="11" spans="1:6" x14ac:dyDescent="0.25">
      <c r="A11" t="s">
        <v>94</v>
      </c>
      <c r="B11" s="18">
        <v>1321522000000</v>
      </c>
      <c r="C11" s="18">
        <v>1212666000000</v>
      </c>
      <c r="D11" s="18">
        <v>1073586000000</v>
      </c>
      <c r="E11" s="18">
        <v>960911000000</v>
      </c>
      <c r="F11" s="8" t="s">
        <v>95</v>
      </c>
    </row>
    <row r="12" spans="1:6" x14ac:dyDescent="0.25">
      <c r="A12" t="s">
        <v>32</v>
      </c>
      <c r="B12" s="34">
        <v>26347543860</v>
      </c>
      <c r="C12" s="34">
        <v>26217491166</v>
      </c>
      <c r="D12" s="34">
        <v>26039431616</v>
      </c>
      <c r="E12" s="34">
        <v>26238022814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2026-09-19T00:09:47Z</dcterms:modified>
</cp:coreProperties>
</file>