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<sst xmlns="http://schemas.openxmlformats.org/spreadsheetml/2006/main" count="116" uniqueCount="104">
  <si>
    <t>Bank of China Limited (3988.HK)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</si>
  <si>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</si>
  <si>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</si>
  <si>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</si>
  <si>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</si>
  <si>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</si>
  <si>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</si>
  <si>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</si>
  <si>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</si>
  <si>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</si>
  <si>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</si>
  <si>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</si>
  <si>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</si>
  <si>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</si>
  <si>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</si>
  <si>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</si>
  <si>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</si>
  <si>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</si>
  <si>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</si>
  <si>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</si>
  <si>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</si>
  <si>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</si>
  <si>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21.1% is not a credible funding cost, so risk-free + 2bp is assumed instead. Interest expense and reported debt are measuring different things - common for banks, whose interest expense includes deposits that total debt excludes.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</si>
  <si>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</si>
  <si>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</si>
  <si>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</si>
  <si>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</si>
  <si>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</si>
  <si>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</si>
  <si>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</si>
  <si>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</si>
  <si>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</si>
  <si>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</si>
  <si>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</si>
  <si>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</si>
  <si>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</si>
  <si>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</si>
  <si>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</si>
  <si>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</si>
  <si>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</si>
  <si>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</si>
  <si>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</si>
  <si>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</si>
  <si>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</si>
  <si>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</si>
  <si>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</si>
  <si>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</si>
  <si>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</si>
  <si>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</si>
  <si>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</si>
  <si>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</si>
  <si>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</si>
  <si>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</si>
  <si>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</si>
  <si>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</si>
  <si>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</si>
  <si>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</si>
  <si>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</si>
  <si>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</si>
  <si>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</si>
  <si>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</si>
  <si>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</si>
  <si>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</si>
  <si>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</si>
  <si>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</si>
  <si>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</si>
  <si>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</si>
  <si>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</si>
  <si>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</si>
  <si>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</si>
  <si>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</si>
  <si>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</si>
  <si>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</si>
  <si>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</si>
  <si>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</si>
  <si>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</si>
  <si>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</si>
  <si>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</si>
  <si>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</si>
  <si>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</si>
  <si>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</si>
  <si>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</si>
  <si>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</si>
  <si>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</si>
  <si>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</si>
  <si>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</si>
  <si>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</si>
  <si>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</si>
  <si>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</si>
  <si>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</si>
  <si>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</si>
  <si>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</si>
  <si>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</si>
  <si>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</si>
  <si>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</si>
  <si>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</si>
  <si>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</si>
  <si>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</si>
  <si>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</si>
  <si>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</si>
  <si>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Reports in CNY, trades in HKD. Modelled in CNY, converted at the end.</t>
  </si>
  <si>
    <t>Note: Risk-free rate is an assumption: HKD assumption - no free live source available for this market.</t>
  </si>
  <si>
    <t>Current EV/EBITDA of 1.2x sits outside a defensible 3-20x band, so the exit multiple is capped at 3.0x. A multiple that far out usually means EBITDA is the wrong denominator for this business.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</si>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</sst>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0.03970754119346975</v>
      </c>
    </row>
    <row r="7" spans="1:2" x14ac:dyDescent="0.25">
      <c r="A7" t="s">
        <v>5</v>
      </c>
      <c r="B7" s="6">
        <v>0.4718680859362877</v>
      </c>
    </row>
    <row r="8" spans="1:2" x14ac:dyDescent="0.25">
      <c r="A8" t="s">
        <v>6</v>
      </c>
      <c r="B8" s="6">
        <v>0.15464758712149934</v>
      </c>
    </row>
    <row r="9" spans="1:2" x14ac:dyDescent="0.25">
      <c r="A9" t="s">
        <v>7</v>
      </c>
      <c r="B9" s="6">
        <v>0.04684014250367422</v>
      </c>
    </row>
    <row r="10" spans="1:2" x14ac:dyDescent="0.25">
      <c r="A10" t="s">
        <v>8</v>
      </c>
      <c r="B10" s="6">
        <v>0.05389931896071197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</v>
      </c>
    </row>
    <row r="14" spans="1:3" x14ac:dyDescent="0.25">
      <c r="A14" t="s">
        <v>12</v>
      </c>
      <c r="B14" s="6">
        <v>0.050784795551811826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0.40906</v>
      </c>
      <c r="C19" s="8" t="s">
        <v>19</v>
      </c>
    </row>
    <row r="20" spans="1:2" x14ac:dyDescent="0.25">
      <c r="A20" t="s">
        <v>20</v>
      </c>
      <c r="B20" s="10">
        <f>B17+B19*B18</f>
        <v>0.0606342</v>
      </c>
    </row>
    <row r="21" spans="1:3" x14ac:dyDescent="0.25">
      <c r="A21" t="s">
        <v>21</v>
      </c>
      <c r="B21" s="6">
        <v>0.052000000000000005</v>
      </c>
      <c r="C21" s="8" t="s">
        <v>22</v>
      </c>
    </row>
    <row r="22" spans="1:2" x14ac:dyDescent="0.25">
      <c r="A22" t="s">
        <v>23</v>
      </c>
      <c r="B22" s="11">
        <v>1928441233408</v>
      </c>
    </row>
    <row r="23" spans="1:2" x14ac:dyDescent="0.25">
      <c r="A23" t="s">
        <v>24</v>
      </c>
      <c r="B23" s="11">
        <v>2782404000000</v>
      </c>
    </row>
    <row r="24" spans="1:2" x14ac:dyDescent="0.25">
      <c r="A24" t="s">
        <v>25</v>
      </c>
      <c r="B24" s="10">
        <f>B22/(B22+B23)</f>
        <v>0.4093620439347132</v>
      </c>
    </row>
    <row r="25" spans="1:2" x14ac:dyDescent="0.25">
      <c r="A25" t="s">
        <v>26</v>
      </c>
      <c r="B25" s="10">
        <f>1-B24</f>
        <v>0.5906379560652868</v>
      </c>
    </row>
    <row r="26" spans="1:2" x14ac:dyDescent="0.25">
      <c r="A26" t="s">
        <v>27</v>
      </c>
      <c r="B26" s="12">
        <f>B24*B20+B25*B21*(1-B8)</f>
        <v>0.050784795551811826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657178000000</v>
      </c>
      <c r="C29" s="8" t="s">
        <v>30</v>
      </c>
    </row>
    <row r="30" spans="1:2" x14ac:dyDescent="0.25">
      <c r="A30" t="s">
        <v>31</v>
      </c>
      <c r="B30" s="11">
        <v>-1548052000000</v>
      </c>
    </row>
    <row r="31" spans="1:2" x14ac:dyDescent="0.25">
      <c r="A31" t="s">
        <v>32</v>
      </c>
      <c r="B31" s="13">
        <v>328406756757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0.03970754119346975</v>
      </c>
      <c r="C5" s="10">
        <f>Assumptions!B6</f>
        <v>0.03970754119346975</v>
      </c>
      <c r="D5" s="10">
        <f>Assumptions!B6</f>
        <v>0.03970754119346975</v>
      </c>
      <c r="E5" s="10">
        <f>Assumptions!B6</f>
        <v>0.03970754119346975</v>
      </c>
      <c r="F5" s="10">
        <f>Assumptions!B6</f>
        <v>0.03970754119346975</v>
      </c>
    </row>
    <row r="6" spans="1:6" x14ac:dyDescent="0.25">
      <c r="A6" t="s">
        <v>43</v>
      </c>
      <c r="B6" s="18">
        <f>Assumptions!B29*(1+B5)</f>
        <v>683272922506.442</v>
      </c>
      <c r="C6" s="18">
        <f>B6*(1+C5)</f>
        <v>710404010223.249</v>
      </c>
      <c r="D6" s="18">
        <f>C6*(1+D5)</f>
        <v>738612406723.1948</v>
      </c>
      <c r="E6" s="18">
        <f>D6*(1+E5)</f>
        <v>767940889289.164</v>
      </c>
      <c r="F6" s="18">
        <f>E6*(1+F5)</f>
        <v>798433933784.7632</v>
      </c>
    </row>
    <row r="7" spans="1:6" x14ac:dyDescent="0.25">
      <c r="A7" t="s">
        <v>5</v>
      </c>
      <c r="B7" s="10">
        <f>Assumptions!B7</f>
        <v>0.4718680859362877</v>
      </c>
      <c r="C7" s="10">
        <f>Assumptions!B7</f>
        <v>0.4718680859362877</v>
      </c>
      <c r="D7" s="10">
        <f>Assumptions!B7</f>
        <v>0.4718680859362877</v>
      </c>
      <c r="E7" s="10">
        <f>Assumptions!B7</f>
        <v>0.4718680859362877</v>
      </c>
      <c r="F7" s="10">
        <f>Assumptions!B7</f>
        <v>0.4718680859362877</v>
      </c>
    </row>
    <row r="8" spans="1:6" x14ac:dyDescent="0.25">
      <c r="A8" t="s">
        <v>44</v>
      </c>
      <c r="B8" s="18">
        <f>B6*B7</f>
        <v>322414686115.20825</v>
      </c>
      <c r="C8" s="18">
        <f>C6*C7</f>
        <v>335216980545.5075</v>
      </c>
      <c r="D8" s="18">
        <f>D6*D7</f>
        <v>348527622609.2688</v>
      </c>
      <c r="E8" s="18">
        <f>E6*E7</f>
        <v>362366797541.08844</v>
      </c>
      <c r="F8" s="18">
        <f>F6*F7</f>
        <v>376755492081.59686</v>
      </c>
    </row>
    <row r="9" spans="1:6" x14ac:dyDescent="0.25">
      <c r="A9" t="s">
        <v>45</v>
      </c>
      <c r="B9" s="18">
        <f>B8*(1-Assumptions!B8)</f>
        <v>272554032854.9557</v>
      </c>
      <c r="C9" s="18">
        <f>C8*(1-Assumptions!B8)</f>
        <v>283376483341.9902</v>
      </c>
      <c r="D9" s="18">
        <f>D8*(1-Assumptions!B8)</f>
        <v>294628666727.55286</v>
      </c>
      <c r="E9" s="18">
        <f>E8*(1-Assumptions!B8)</f>
        <v>306327646648.41425</v>
      </c>
      <c r="F9" s="18">
        <f>F8*(1-Assumptions!B8)</f>
        <v>318491164296.4047</v>
      </c>
    </row>
    <row r="10" spans="1:6" x14ac:dyDescent="0.25">
      <c r="A10" t="s">
        <v>46</v>
      </c>
      <c r="B10" s="18">
        <f>B6*Assumptions!B9</f>
        <v>32004601059.1037</v>
      </c>
      <c r="C10" s="18">
        <f>C6*Assumptions!B9</f>
        <v>33275425074.038624</v>
      </c>
      <c r="D10" s="18">
        <f>D6*Assumptions!B9</f>
        <v>34596710385.89623</v>
      </c>
      <c r="E10" s="18">
        <f>E6*Assumptions!B9</f>
        <v>35970460688.70275</v>
      </c>
      <c r="F10" s="18">
        <f>F6*Assumptions!B9</f>
        <v>37398759238.2475</v>
      </c>
    </row>
    <row r="11" spans="1:6" x14ac:dyDescent="0.25">
      <c r="A11" t="s">
        <v>47</v>
      </c>
      <c r="B11" s="18">
        <f>-B6*Assumptions!B10</f>
        <v>-36827945187.39255</v>
      </c>
      <c r="C11" s="18">
        <f>-C6*Assumptions!B10</f>
        <v>-38290292337.99178</v>
      </c>
      <c r="D11" s="18">
        <f>-D6*Assumptions!B10</f>
        <v>-39810705698.3126</v>
      </c>
      <c r="E11" s="18">
        <f>-E6*Assumptions!B10</f>
        <v>-41391490934.76945</v>
      </c>
      <c r="F11" s="18">
        <f>-F6*Assumptions!B10</f>
        <v>-43035045266.12093</v>
      </c>
    </row>
    <row r="12" spans="1:6" x14ac:dyDescent="0.25">
      <c r="A12" t="s">
        <v>48</v>
      </c>
      <c r="B12" s="18">
        <f>-(B6-Assumptions!B29)*Assumptions!B11</f>
        <v>26094922506.442017</v>
      </c>
      <c r="C12" s="18">
        <f>-(C6-B6)*Assumptions!B11</f>
        <v>27131087716.807007</v>
      </c>
      <c r="D12" s="18">
        <f>-(D6-C6)*Assumptions!B11</f>
        <v>28208396499.9458</v>
      </c>
      <c r="E12" s="18">
        <f>-(E6-D6)*Assumptions!B11</f>
        <v>29328482565.969116</v>
      </c>
      <c r="F12" s="18">
        <f>-(F6-E6)*Assumptions!B11</f>
        <v>30493044495.599243</v>
      </c>
    </row>
    <row r="13" spans="1:6" x14ac:dyDescent="0.25">
      <c r="A13" s="19" t="s">
        <v>49</v>
      </c>
      <c r="B13" s="20">
        <f>B9+B10+B11+B12</f>
        <v>293825611233.1089</v>
      </c>
      <c r="C13" s="20">
        <f>C9+C10+C11+C12</f>
        <v>305492703794.84406</v>
      </c>
      <c r="D13" s="20">
        <f>D9+D10+D11+D12</f>
        <v>317623067915.0823</v>
      </c>
      <c r="E13" s="20">
        <f>E9+E10+E11+E12</f>
        <v>330235098968.31665</v>
      </c>
      <c r="F13" s="20">
        <f>F9+F10+F11+F12</f>
        <v>343347922764.13055</v>
      </c>
    </row>
    <row r="14" spans="1:6" x14ac:dyDescent="0.25">
      <c r="A14" t="s">
        <v>50</v>
      </c>
      <c r="B14" s="21">
        <f>1/(1+Assumptions!$B$26)^(1-0.5*Assumptions!$B$32)</f>
        <v>0.9755355715321792</v>
      </c>
      <c r="C14" s="21">
        <f>1/(1+Assumptions!$B$26)^(2-0.5*Assumptions!$B$32)</f>
        <v>0.9283875972147881</v>
      </c>
      <c r="D14" s="21">
        <f>1/(1+Assumptions!$B$26)^(3-0.5*Assumptions!$B$32)</f>
        <v>0.8835183009354949</v>
      </c>
      <c r="E14" s="21">
        <f>1/(1+Assumptions!$B$26)^(4-0.5*Assumptions!$B$32)</f>
        <v>0.8408175533901988</v>
      </c>
      <c r="F14" s="21">
        <f>1/(1+Assumptions!$B$26)^(5-0.5*Assumptions!$B$32)</f>
        <v>0.8001805478624666</v>
      </c>
    </row>
    <row r="15" spans="1:6" x14ac:dyDescent="0.25">
      <c r="A15" s="19" t="s">
        <v>51</v>
      </c>
      <c r="B15" s="20">
        <f>B13*B14</f>
        <v>286637335585.08276</v>
      </c>
      <c r="C15" s="20">
        <f>C13*C14</f>
        <v>283615637242.74426</v>
      </c>
      <c r="D15" s="20">
        <f>D13*D14</f>
        <v>280625793302.2528</v>
      </c>
      <c r="E15" s="20">
        <f>E13*E14</f>
        <v>277667467958.11017</v>
      </c>
      <c r="F15" s="20">
        <f>F13*F14</f>
        <v>274740328944.84186</v>
      </c>
    </row>
    <row r="17" spans="1:2" x14ac:dyDescent="0.25">
      <c r="A17" s="22" t="s">
        <v>52</v>
      </c>
      <c r="B17" s="23">
        <f>SUM(B15:F15)</f>
        <v>1403286563033.0317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343347922764.13055</v>
      </c>
    </row>
    <row r="5" spans="1:2" x14ac:dyDescent="0.25">
      <c r="A5" t="s">
        <v>56</v>
      </c>
      <c r="B5" s="18">
        <f>IF(Assumptions!$B$33=0,B4,B4-Forecast!F11-Forecast!F10-Forecast!F12)</f>
        <v>326322843565.22534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0.4922733217365111</v>
      </c>
    </row>
    <row r="7" spans="1:2" x14ac:dyDescent="0.25">
      <c r="A7" t="s">
        <v>58</v>
      </c>
      <c r="B7" s="18">
        <f>-MAX(Forecast!F9,0)*B6</f>
        <v>-160640030160.35736</v>
      </c>
    </row>
    <row r="8" spans="1:2" x14ac:dyDescent="0.25">
      <c r="A8" t="s">
        <v>59</v>
      </c>
      <c r="B8" s="18">
        <f>IF(OR(Assumptions!$B$33=0,Assumptions!B12&lt;=0),B5,MAX(B5+B7,0))</f>
        <v>165682813404.86798</v>
      </c>
    </row>
    <row r="9" spans="1:2" x14ac:dyDescent="0.25">
      <c r="A9" t="s">
        <v>60</v>
      </c>
      <c r="B9" s="18">
        <f>B8*(1+Assumptions!B12)/(Assumptions!B26-Assumptions!B12)</f>
        <v>6586241236574.65</v>
      </c>
    </row>
    <row r="10" spans="1:2" x14ac:dyDescent="0.25">
      <c r="A10" t="s">
        <v>61</v>
      </c>
      <c r="B10" s="18">
        <f>B9/(1+Assumptions!B26)^(5-0.5*Assumptions!B32)</f>
        <v>5270182121036.674</v>
      </c>
    </row>
    <row r="11" spans="1:2" x14ac:dyDescent="0.25">
      <c r="A11" t="s">
        <v>62</v>
      </c>
      <c r="B11" s="18">
        <f>Forecast!B17+B10</f>
        <v>6673468684069.705</v>
      </c>
    </row>
    <row r="12" spans="1:2" x14ac:dyDescent="0.25">
      <c r="A12" t="s">
        <v>63</v>
      </c>
      <c r="B12" s="18">
        <f>-Assumptions!B30</f>
        <v>1548052000000</v>
      </c>
    </row>
    <row r="13" spans="1:2" x14ac:dyDescent="0.25">
      <c r="A13" t="s">
        <v>64</v>
      </c>
      <c r="B13" s="18">
        <f>B11+B12</f>
        <v>8221520684069.705</v>
      </c>
    </row>
    <row r="14" spans="1:2" x14ac:dyDescent="0.25">
      <c r="A14" s="19" t="s">
        <v>65</v>
      </c>
      <c r="B14" s="24">
        <f>B13/Assumptions!B31</f>
        <v>25.034566174145755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414154251319.84436</v>
      </c>
    </row>
    <row r="18" spans="1:2" x14ac:dyDescent="0.25">
      <c r="A18" t="s">
        <v>60</v>
      </c>
      <c r="B18" s="18">
        <f>B17*Assumptions!B13</f>
        <v>1242462753959.5332</v>
      </c>
    </row>
    <row r="19" spans="1:2" x14ac:dyDescent="0.25">
      <c r="A19" t="s">
        <v>61</v>
      </c>
      <c r="B19" s="18">
        <f>B18/(1+Assumptions!B26)^(5-0.5*Assumptions!B32)</f>
        <v>994194527162.0483</v>
      </c>
    </row>
    <row r="20" spans="1:2" x14ac:dyDescent="0.25">
      <c r="A20" t="s">
        <v>62</v>
      </c>
      <c r="B20" s="18">
        <f>Forecast!B17+B19</f>
        <v>2397481090195.08</v>
      </c>
    </row>
    <row r="21" spans="1:2" x14ac:dyDescent="0.25">
      <c r="A21" t="s">
        <v>63</v>
      </c>
      <c r="B21" s="18">
        <f>-Assumptions!B30</f>
        <v>1548052000000</v>
      </c>
    </row>
    <row r="22" spans="1:2" x14ac:dyDescent="0.25">
      <c r="A22" t="s">
        <v>64</v>
      </c>
      <c r="B22" s="18">
        <f>B20+B21</f>
        <v>3945533090195.08</v>
      </c>
    </row>
    <row r="23" spans="1:2" x14ac:dyDescent="0.25">
      <c r="A23" s="19" t="s">
        <v>65</v>
      </c>
      <c r="B23" s="25">
        <f>B22/Assumptions!B31</f>
        <v>12.014165387938478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5.985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29.310470076689853</v>
      </c>
    </row>
    <row r="29" spans="1:2" x14ac:dyDescent="0.25">
      <c r="A29" s="19" t="s">
        <v>73</v>
      </c>
      <c r="B29" s="12">
        <f>B28/B26-1</f>
        <v>3.8973216502405768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0.030785</v>
      </c>
      <c r="B5" s="31">
        <v>48.40181956456529</v>
      </c>
      <c r="C5" s="31">
        <v>58.751294992613495</v>
      </c>
      <c r="D5" s="31">
        <v>86.84275226174445</v>
      </c>
      <c r="E5" s="31">
        <v>471.694952666532</v>
      </c>
      <c r="F5" s="31" t="s">
        <v>76</v>
      </c>
    </row>
    <row r="6" spans="1:6" x14ac:dyDescent="0.25">
      <c r="A6" s="30">
        <v>0.040785</v>
      </c>
      <c r="B6" s="31">
        <v>32.06968236868867</v>
      </c>
      <c r="C6" s="31">
        <v>33.70947490422372</v>
      </c>
      <c r="D6" s="31">
        <v>36.336089630466496</v>
      </c>
      <c r="E6" s="31">
        <v>41.32201916314406</v>
      </c>
      <c r="F6" s="31">
        <v>54.78476083959812</v>
      </c>
    </row>
    <row r="7" spans="1:6" x14ac:dyDescent="0.25">
      <c r="A7" s="30">
        <v>0.050785</v>
      </c>
      <c r="B7" s="31">
        <v>24.877923031304455</v>
      </c>
      <c r="C7" s="31">
        <v>24.95620424487789</v>
      </c>
      <c r="D7" s="32">
        <v>25.034485458451314</v>
      </c>
      <c r="E7" s="31">
        <v>25.112766672024744</v>
      </c>
      <c r="F7" s="31">
        <v>25.191047885598174</v>
      </c>
    </row>
    <row r="8" spans="1:6" x14ac:dyDescent="0.25">
      <c r="A8" s="30">
        <v>0.060785</v>
      </c>
      <c r="B8" s="31">
        <v>21.61083083079892</v>
      </c>
      <c r="C8" s="31">
        <v>21.673504599615743</v>
      </c>
      <c r="D8" s="31">
        <v>21.736178368432565</v>
      </c>
      <c r="E8" s="31">
        <v>21.79885213724939</v>
      </c>
      <c r="F8" s="31">
        <v>21.861525906066216</v>
      </c>
    </row>
    <row r="9" spans="1:6" x14ac:dyDescent="0.25">
      <c r="A9" s="30">
        <v>0.070785</v>
      </c>
      <c r="B9" s="31">
        <v>19.266870112948563</v>
      </c>
      <c r="C9" s="31">
        <v>19.318464672138408</v>
      </c>
      <c r="D9" s="31">
        <v>19.37005923132825</v>
      </c>
      <c r="E9" s="31">
        <v>19.421653790518096</v>
      </c>
      <c r="F9" s="31">
        <v>19.473248349707934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657178000000</v>
      </c>
      <c r="C5" s="18">
        <v>629415000000</v>
      </c>
      <c r="D5" s="18">
        <v>621924000000</v>
      </c>
      <c r="E5" s="18">
        <v>584722000000</v>
      </c>
      <c r="F5" s="8" t="s">
        <v>85</v>
      </c>
    </row>
    <row r="6" spans="1:6" x14ac:dyDescent="0.25">
      <c r="A6" t="s">
        <v>44</v>
      </c>
      <c r="B6" s="18">
        <v>301288000000</v>
      </c>
      <c r="C6" s="18">
        <v>294954000000</v>
      </c>
      <c r="D6" s="18">
        <v>295608000000</v>
      </c>
      <c r="E6" s="18">
        <v>283641000000</v>
      </c>
      <c r="F6" s="8" t="s">
        <v>86</v>
      </c>
    </row>
    <row r="7" spans="1:6" x14ac:dyDescent="0.25">
      <c r="A7" t="s">
        <v>87</v>
      </c>
      <c r="B7" s="18">
        <v>28034000000</v>
      </c>
      <c r="C7" s="18">
        <v>29221000000</v>
      </c>
      <c r="D7" s="18">
        <v>30416000000</v>
      </c>
      <c r="E7" s="18">
        <v>28868000000</v>
      </c>
      <c r="F7" s="8" t="s">
        <v>88</v>
      </c>
    </row>
    <row r="8" spans="1:6" x14ac:dyDescent="0.25">
      <c r="A8" t="s">
        <v>89</v>
      </c>
      <c r="B8" s="18">
        <v>51273000000</v>
      </c>
      <c r="C8" s="18">
        <v>27236000000</v>
      </c>
      <c r="D8" s="18">
        <v>29148000000</v>
      </c>
      <c r="E8" s="18">
        <v>27738000000</v>
      </c>
      <c r="F8" s="8" t="s">
        <v>90</v>
      </c>
    </row>
    <row r="9" spans="1:6" x14ac:dyDescent="0.25">
      <c r="A9" t="s">
        <v>91</v>
      </c>
      <c r="B9" s="18">
        <v>-619924000000</v>
      </c>
      <c r="C9" s="18">
        <v>-339593000000</v>
      </c>
      <c r="D9" s="18">
        <v>-581818000000</v>
      </c>
      <c r="E9" s="18">
        <v>285458000000</v>
      </c>
      <c r="F9" s="8" t="s">
        <v>92</v>
      </c>
    </row>
    <row r="10" spans="1:6" x14ac:dyDescent="0.25">
      <c r="A10" t="s">
        <v>93</v>
      </c>
      <c r="B10" s="18">
        <v>2782404000000</v>
      </c>
      <c r="C10" s="18">
        <v>2521963000000</v>
      </c>
      <c r="D10" s="18">
        <v>2209527000000</v>
      </c>
      <c r="E10" s="18">
        <v>1888997000000</v>
      </c>
      <c r="F10" s="8" t="s">
        <v>94</v>
      </c>
    </row>
    <row r="11" spans="1:6" x14ac:dyDescent="0.25">
      <c r="A11" t="s">
        <v>95</v>
      </c>
      <c r="B11" s="18">
        <v>4330456000000</v>
      </c>
      <c r="C11" s="18">
        <v>4142953000000</v>
      </c>
      <c r="D11" s="18">
        <v>4457374000000</v>
      </c>
      <c r="E11" s="18">
        <v>4104721000000</v>
      </c>
      <c r="F11" s="8" t="s">
        <v>96</v>
      </c>
    </row>
    <row r="12" spans="1:6" x14ac:dyDescent="0.25">
      <c r="A12" t="s">
        <v>32</v>
      </c>
      <c r="B12" s="34">
        <v>328406756757</v>
      </c>
      <c r="C12" s="34">
        <v>317121333333</v>
      </c>
      <c r="D12" s="34">
        <v>313383783784</v>
      </c>
      <c r="E12" s="34">
        <v>314613888889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8" ht="22" customHeight="1" spans="1:6" x14ac:dyDescent="0.25">
      <c r="A18" s="35" t="s">
        <v>101</v>
      </c>
      <c r="B18" s="35"/>
      <c r="C18" s="35"/>
      <c r="D18" s="35"/>
      <c r="E18" s="35"/>
      <c r="F18" s="35"/>
    </row>
    <row r="19" ht="38" customHeight="1" spans="1:6" x14ac:dyDescent="0.25">
      <c r="A19" s="35" t="s">
        <v>102</v>
      </c>
      <c r="B19" s="35"/>
      <c r="C19" s="35"/>
      <c r="D19" s="35"/>
      <c r="E19" s="35"/>
      <c r="F19" s="35"/>
    </row>
    <row r="21" spans="1:1" x14ac:dyDescent="0.25">
      <c r="A21" s="36" t="s">
        <v>103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2026-09-19T00:10:01Z</dcterms:modified>
</cp:coreProperties>
</file>