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<sst xmlns="http://schemas.openxmlformats.org/spreadsheetml/2006/main" count="114" uniqueCount="102">
  <si>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Seatrium Limited (5E2.SI)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</si>
  <si>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</si>
  <si>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</si>
  <si>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</si>
  <si>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</si>
  <si>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</si>
  <si>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</si>
  <si>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</si>
  <si>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</si>
  <si>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</si>
  <si>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</si>
  <si>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</si>
  <si>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</si>
  <si>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</si>
  <si>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</si>
  <si>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</si>
  <si>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</si>
  <si>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</si>
  <si>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</si>
  <si>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</si>
  <si>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</si>
  <si>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</si>
  <si>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</si>
  <si>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</si>
  <si>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</si>
  <si>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</si>
  <si>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</si>
  <si>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</si>
  <si>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</si>
  <si>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</si>
  <si>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</si>
  <si>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</si>
  <si>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</si>
  <si>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</si>
  <si>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</si>
  <si>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</si>
  <si>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</si>
  <si>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</si>
  <si>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</si>
  <si>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</si>
  <si>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</si>
  <si>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</si>
  <si>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</si>
  <si>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</si>
  <si>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</si>
  <si>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</si>
  <si>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</si>
  <si>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</si>
  <si>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</si>
  <si>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</si>
  <si>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</si>
  <si>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</si>
  <si>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</si>
  <si>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</si>
  <si>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</si>
  <si>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</si>
  <si>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</si>
  <si>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</si>
  <si>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</si>
  <si>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</si>
  <si>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</si>
  <si>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</si>
  <si>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</si>
  <si>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</si>
  <si>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</si>
  <si>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</si>
  <si>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</si>
  <si>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</si>
  <si>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</si>
  <si>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</si>
  <si>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</si>
  <si>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</si>
  <si>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</si>
  <si>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</si>
  <si>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</si>
  <si>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</si>
  <si>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</si>
  <si>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</si>
  <si>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</si>
  <si>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</si>
  <si>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</si>
  <si>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</si>
  <si>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</si>
  <si>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</si>
  <si>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</si>
  <si>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</si>
  <si>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</si>
  <si>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</si>
  <si>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</si>
  <si>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</si>
  <si>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</si>
  <si>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</si>
  <si>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</si>
  <si>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</si>
  <si>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</si>
  <si>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</si>
  <si>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</si>
  <si>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</si>
  <si>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1.32% of revenue against depreciation of 4.56%. A business cannot depreciate more than it invests indefinitely. Capex has been set to 4.56% of revenue so the forecast is not handed free growth. Override it if the reported figure is right.</t>
  </si>
  <si>
    <t>Adjusted: Free cashflow is negative in at least one forecast year, so terminal value carries most of the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</si>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</sst>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-0.030067270756408915</v>
      </c>
    </row>
    <row r="8" spans="1:2" x14ac:dyDescent="0.25">
      <c r="A8" t="s">
        <v>6</v>
      </c>
      <c r="B8" s="6">
        <v>0.2402796850961068</v>
      </c>
    </row>
    <row r="9" spans="1:2" x14ac:dyDescent="0.25">
      <c r="A9" t="s">
        <v>7</v>
      </c>
      <c r="B9" s="6">
        <v>0.06012959360153493</v>
      </c>
    </row>
    <row r="10" spans="1:2" x14ac:dyDescent="0.25">
      <c r="A10" t="s">
        <v>8</v>
      </c>
      <c r="B10" s="6">
        <v>0.045603583571541595</v>
      </c>
    </row>
    <row r="11" spans="1:2" x14ac:dyDescent="0.25">
      <c r="A11" t="s">
        <v>9</v>
      </c>
      <c r="B11" s="6">
        <v>0.04361409084357554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9.942071696919413</v>
      </c>
    </row>
    <row r="14" spans="1:3" x14ac:dyDescent="0.25">
      <c r="A14" t="s">
        <v>12</v>
      </c>
      <c r="B14" s="6">
        <v>0.06388927633437452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0.49213999999999997</v>
      </c>
      <c r="C19" s="8" t="s">
        <v>19</v>
      </c>
    </row>
    <row r="20" spans="1:2" x14ac:dyDescent="0.25">
      <c r="A20" t="s">
        <v>20</v>
      </c>
      <c r="B20" s="10">
        <f>B17+B19*B18</f>
        <v>0.0739891</v>
      </c>
    </row>
    <row r="21" spans="1:3" x14ac:dyDescent="0.25">
      <c r="A21" t="s">
        <v>21</v>
      </c>
      <c r="B21" s="6">
        <v>0.05175675740209731</v>
      </c>
      <c r="C21" s="8" t="s">
        <v>22</v>
      </c>
    </row>
    <row r="22" spans="1:2" x14ac:dyDescent="0.25">
      <c r="A22" t="s">
        <v>23</v>
      </c>
      <c r="B22" s="11">
        <v>7184127488</v>
      </c>
    </row>
    <row r="23" spans="1:2" x14ac:dyDescent="0.25">
      <c r="A23" t="s">
        <v>24</v>
      </c>
      <c r="B23" s="11">
        <v>2953297000</v>
      </c>
    </row>
    <row r="24" spans="1:2" x14ac:dyDescent="0.25">
      <c r="A24" t="s">
        <v>25</v>
      </c>
      <c r="B24" s="10">
        <f>B22/(B22+B23)</f>
        <v>0.7086738349078788</v>
      </c>
    </row>
    <row r="25" spans="1:2" x14ac:dyDescent="0.25">
      <c r="A25" t="s">
        <v>26</v>
      </c>
      <c r="B25" s="10">
        <f>1-B24</f>
        <v>0.29132616509212117</v>
      </c>
    </row>
    <row r="26" spans="1:2" x14ac:dyDescent="0.25">
      <c r="A26" t="s">
        <v>27</v>
      </c>
      <c r="B26" s="12">
        <f>B24*B20+B25*B21*(1-B8)</f>
        <v>0.06388927633437452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11471675000</v>
      </c>
      <c r="C29" s="8" t="s">
        <v>30</v>
      </c>
    </row>
    <row r="30" spans="1:2" x14ac:dyDescent="0.25">
      <c r="A30" t="s">
        <v>31</v>
      </c>
      <c r="B30" s="11">
        <v>1143998000</v>
      </c>
    </row>
    <row r="31" spans="1:2" x14ac:dyDescent="0.25">
      <c r="A31" t="s">
        <v>32</v>
      </c>
      <c r="B31" s="13">
        <v>3417130000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17207512500</v>
      </c>
      <c r="C6" s="18">
        <f>B6*(1+C5)</f>
        <v>25811268750</v>
      </c>
      <c r="D6" s="18">
        <f>C6*(1+D5)</f>
        <v>38716903125</v>
      </c>
      <c r="E6" s="18">
        <f>D6*(1+E5)</f>
        <v>58075354687.5</v>
      </c>
      <c r="F6" s="18">
        <f>E6*(1+F5)</f>
        <v>87113032031.25</v>
      </c>
    </row>
    <row r="7" spans="1:6" x14ac:dyDescent="0.25">
      <c r="A7" t="s">
        <v>5</v>
      </c>
      <c r="B7" s="10">
        <f>Assumptions!B7</f>
        <v>-0.030067270756408915</v>
      </c>
      <c r="C7" s="10">
        <f>Assumptions!B7</f>
        <v>-0.030067270756408915</v>
      </c>
      <c r="D7" s="10">
        <f>Assumptions!B7</f>
        <v>-0.030067270756408915</v>
      </c>
      <c r="E7" s="10">
        <f>Assumptions!B7</f>
        <v>-0.030067270756408915</v>
      </c>
      <c r="F7" s="10">
        <f>Assumptions!B7</f>
        <v>-0.030067270756408915</v>
      </c>
    </row>
    <row r="8" spans="1:6" x14ac:dyDescent="0.25">
      <c r="A8" t="s">
        <v>44</v>
      </c>
      <c r="B8" s="18">
        <f>B6*B7</f>
        <v>-517382937.3817909</v>
      </c>
      <c r="C8" s="18">
        <f>C6*C7</f>
        <v>-776074406.0726863</v>
      </c>
      <c r="D8" s="18">
        <f>D6*D7</f>
        <v>-1164111609.1090295</v>
      </c>
      <c r="E8" s="18">
        <f>E6*E7</f>
        <v>-1746167413.6635442</v>
      </c>
      <c r="F8" s="18">
        <f>F6*F7</f>
        <v>-2619251120.495316</v>
      </c>
    </row>
    <row r="9" spans="1:6" x14ac:dyDescent="0.25">
      <c r="A9" t="s">
        <v>45</v>
      </c>
      <c r="B9" s="18">
        <f>B8*(1-Assumptions!B8)</f>
        <v>-393066328.11359537</v>
      </c>
      <c r="C9" s="18">
        <f>C8*(1-Assumptions!B8)</f>
        <v>-589599492.1703931</v>
      </c>
      <c r="D9" s="18">
        <f>D8*(1-Assumptions!B8)</f>
        <v>-884399238.2555897</v>
      </c>
      <c r="E9" s="18">
        <f>E8*(1-Assumptions!B8)</f>
        <v>-1326598857.3833845</v>
      </c>
      <c r="F9" s="18">
        <f>F8*(1-Assumptions!B8)</f>
        <v>-1989898286.0750763</v>
      </c>
    </row>
    <row r="10" spans="1:6" x14ac:dyDescent="0.25">
      <c r="A10" t="s">
        <v>46</v>
      </c>
      <c r="B10" s="18">
        <f>B6*Assumptions!B9</f>
        <v>1034680733.5183322</v>
      </c>
      <c r="C10" s="18">
        <f>C6*Assumptions!B9</f>
        <v>1552021100.2774985</v>
      </c>
      <c r="D10" s="18">
        <f>D6*Assumptions!B9</f>
        <v>2328031650.416248</v>
      </c>
      <c r="E10" s="18">
        <f>E6*Assumptions!B9</f>
        <v>3492047475.6243715</v>
      </c>
      <c r="F10" s="18">
        <f>F6*Assumptions!B9</f>
        <v>5238071213.436557</v>
      </c>
    </row>
    <row r="11" spans="1:6" x14ac:dyDescent="0.25">
      <c r="A11" t="s">
        <v>47</v>
      </c>
      <c r="B11" s="18">
        <f>-B6*Assumptions!B10</f>
        <v>-784724234.3520967</v>
      </c>
      <c r="C11" s="18">
        <f>-C6*Assumptions!B10</f>
        <v>-1177086351.528145</v>
      </c>
      <c r="D11" s="18">
        <f>-D6*Assumptions!B10</f>
        <v>-1765629527.2922175</v>
      </c>
      <c r="E11" s="18">
        <f>-E6*Assumptions!B10</f>
        <v>-2648444290.9383264</v>
      </c>
      <c r="F11" s="18">
        <f>-F6*Assumptions!B10</f>
        <v>-3972666436.4074893</v>
      </c>
    </row>
    <row r="12" spans="1:6" x14ac:dyDescent="0.25">
      <c r="A12" t="s">
        <v>48</v>
      </c>
      <c r="B12" s="18">
        <f>-(B6-Assumptions!B29)*Assumptions!B11</f>
        <v>-250163337.7889872</v>
      </c>
      <c r="C12" s="18">
        <f>-(C6-B6)*Assumptions!B11</f>
        <v>-375245006.6834808</v>
      </c>
      <c r="D12" s="18">
        <f>-(D6-C6)*Assumptions!B11</f>
        <v>-562867510.0252212</v>
      </c>
      <c r="E12" s="18">
        <f>-(E6-D6)*Assumptions!B11</f>
        <v>-844301265.0378318</v>
      </c>
      <c r="F12" s="18">
        <f>-(F6-E6)*Assumptions!B11</f>
        <v>-1266451897.5567477</v>
      </c>
    </row>
    <row r="13" spans="1:6" x14ac:dyDescent="0.25">
      <c r="A13" s="19" t="s">
        <v>49</v>
      </c>
      <c r="B13" s="20">
        <f>B9+B10+B11+B12</f>
        <v>-393273166.73634696</v>
      </c>
      <c r="C13" s="20">
        <f>C9+C10+C11+C12</f>
        <v>-589909750.1045206</v>
      </c>
      <c r="D13" s="20">
        <f>D9+D10+D11+D12</f>
        <v>-884864625.1567806</v>
      </c>
      <c r="E13" s="20">
        <f>E9+E10+E11+E12</f>
        <v>-1327296937.7351713</v>
      </c>
      <c r="F13" s="20">
        <f>F9+F10+F11+F12</f>
        <v>-1990945406.6027563</v>
      </c>
    </row>
    <row r="14" spans="1:6" x14ac:dyDescent="0.25">
      <c r="A14" t="s">
        <v>50</v>
      </c>
      <c r="B14" s="21">
        <f>1/(1+Assumptions!$B$26)^(1-0.5*Assumptions!$B$32)</f>
        <v>0.9695088645134609</v>
      </c>
      <c r="C14" s="21">
        <f>1/(1+Assumptions!$B$26)^(2-0.5*Assumptions!$B$32)</f>
        <v>0.9112873736766095</v>
      </c>
      <c r="D14" s="21">
        <f>1/(1+Assumptions!$B$26)^(3-0.5*Assumptions!$B$32)</f>
        <v>0.8565622325064182</v>
      </c>
      <c r="E14" s="21">
        <f>1/(1+Assumptions!$B$26)^(4-0.5*Assumptions!$B$32)</f>
        <v>0.8051234762490502</v>
      </c>
      <c r="F14" s="21">
        <f>1/(1+Assumptions!$B$26)^(5-0.5*Assumptions!$B$32)</f>
        <v>0.7567737490719892</v>
      </c>
    </row>
    <row r="15" spans="1:6" x14ac:dyDescent="0.25">
      <c r="A15" s="19" t="s">
        <v>51</v>
      </c>
      <c r="B15" s="20">
        <f>B13*B14</f>
        <v>-381281821.3261687</v>
      </c>
      <c r="C15" s="20">
        <f>C13*C14</f>
        <v>-537577306.8789736</v>
      </c>
      <c r="D15" s="20">
        <f>D13*D14</f>
        <v>-757941618.7902468</v>
      </c>
      <c r="E15" s="20">
        <f>E13*E14</f>
        <v>-1068637924.5240602</v>
      </c>
      <c r="F15" s="20">
        <f>F13*F14</f>
        <v>-1506695219.552424</v>
      </c>
    </row>
    <row r="17" spans="1:2" x14ac:dyDescent="0.25">
      <c r="A17" s="22" t="s">
        <v>52</v>
      </c>
      <c r="B17" s="23">
        <f>SUM(B15:F15)</f>
        <v>-4252133891.071873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-1990945406.6027563</v>
      </c>
    </row>
    <row r="5" spans="1:2" x14ac:dyDescent="0.25">
      <c r="A5" t="s">
        <v>56</v>
      </c>
      <c r="B5" s="18">
        <f>IF(Assumptions!$B$33=0,B4,B4-Forecast!F11-Forecast!F10-Forecast!F12)</f>
        <v>-1028544570.3896626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0.3913019748284296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-4252133891.071873</v>
      </c>
    </row>
    <row r="12" spans="1:2" x14ac:dyDescent="0.25">
      <c r="A12" t="s">
        <v>63</v>
      </c>
      <c r="B12" s="18">
        <f>-Assumptions!B30</f>
        <v>-1143997999.9999995</v>
      </c>
    </row>
    <row r="13" spans="1:2" x14ac:dyDescent="0.25">
      <c r="A13" t="s">
        <v>64</v>
      </c>
      <c r="B13" s="18">
        <f>B11+B12</f>
        <v>-5396131891.071873</v>
      </c>
    </row>
    <row r="14" spans="1:2" x14ac:dyDescent="0.25">
      <c r="A14" s="19" t="s">
        <v>65</v>
      </c>
      <c r="B14" s="24">
        <f>B13/Assumptions!B31</f>
        <v>-1.5791415284381551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2618820092.941241</v>
      </c>
    </row>
    <row r="18" spans="1:2" x14ac:dyDescent="0.25">
      <c r="A18" t="s">
        <v>60</v>
      </c>
      <c r="B18" s="18">
        <f>B17*Assumptions!B13</f>
        <v>26036497125.354977</v>
      </c>
    </row>
    <row r="19" spans="1:2" x14ac:dyDescent="0.25">
      <c r="A19" t="s">
        <v>61</v>
      </c>
      <c r="B19" s="18">
        <f>B18/(1+Assumptions!B26)^(5-0.5*Assumptions!B32)</f>
        <v>19703737542.256958</v>
      </c>
    </row>
    <row r="20" spans="1:2" x14ac:dyDescent="0.25">
      <c r="A20" t="s">
        <v>62</v>
      </c>
      <c r="B20" s="18">
        <f>Forecast!B17+B19</f>
        <v>15451603651.185085</v>
      </c>
    </row>
    <row r="21" spans="1:2" x14ac:dyDescent="0.25">
      <c r="A21" t="s">
        <v>63</v>
      </c>
      <c r="B21" s="18">
        <f>-Assumptions!B30</f>
        <v>-1143998000</v>
      </c>
    </row>
    <row r="22" spans="1:2" x14ac:dyDescent="0.25">
      <c r="A22" t="s">
        <v>64</v>
      </c>
      <c r="B22" s="18">
        <f>B20+B21</f>
        <v>14307605651.185085</v>
      </c>
    </row>
    <row r="23" spans="1:2" x14ac:dyDescent="0.25">
      <c r="A23" s="19" t="s">
        <v>65</v>
      </c>
      <c r="B23" s="25">
        <f>B22/Assumptions!B31</f>
        <v>4.187024096591316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-1.5791415284381551</v>
      </c>
    </row>
    <row r="29" spans="1:2" x14ac:dyDescent="0.25">
      <c r="A29" s="19" t="s">
        <v>73</v>
      </c>
      <c r="B29" s="12">
        <f>B28/B26-1</f>
        <v>-1.74487807945196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0.043889</v>
      </c>
      <c r="B5" s="31">
        <v>-1.6563138975216327</v>
      </c>
      <c r="C5" s="31">
        <v>-1.6563138975216327</v>
      </c>
      <c r="D5" s="31">
        <v>-1.6563138975216327</v>
      </c>
      <c r="E5" s="31">
        <v>-1.6563138975216327</v>
      </c>
      <c r="F5" s="31">
        <v>-1.6563138975216327</v>
      </c>
    </row>
    <row r="6" spans="1:6" x14ac:dyDescent="0.25">
      <c r="A6" s="30">
        <v>0.053889</v>
      </c>
      <c r="B6" s="31">
        <v>-1.6168659925279147</v>
      </c>
      <c r="C6" s="31">
        <v>-1.6168659925279147</v>
      </c>
      <c r="D6" s="31">
        <v>-1.6168659925279147</v>
      </c>
      <c r="E6" s="31">
        <v>-1.6168659925279147</v>
      </c>
      <c r="F6" s="31">
        <v>-1.6168659925279147</v>
      </c>
    </row>
    <row r="7" spans="1:6" x14ac:dyDescent="0.25">
      <c r="A7" s="30">
        <v>0.063889</v>
      </c>
      <c r="B7" s="31">
        <v>-1.579142547916447</v>
      </c>
      <c r="C7" s="31">
        <v>-1.579142547916447</v>
      </c>
      <c r="D7" s="32">
        <v>-1.579142547916447</v>
      </c>
      <c r="E7" s="31">
        <v>-1.579142547916447</v>
      </c>
      <c r="F7" s="31">
        <v>-1.579142547916447</v>
      </c>
    </row>
    <row r="8" spans="1:6" x14ac:dyDescent="0.25">
      <c r="A8" s="30">
        <v>0.073889</v>
      </c>
      <c r="B8" s="31">
        <v>-1.5430499114265503</v>
      </c>
      <c r="C8" s="31">
        <v>-1.5430499114265503</v>
      </c>
      <c r="D8" s="31">
        <v>-1.5430499114265503</v>
      </c>
      <c r="E8" s="31">
        <v>-1.5430499114265503</v>
      </c>
      <c r="F8" s="31">
        <v>-1.5430499114265503</v>
      </c>
    </row>
    <row r="9" spans="1:6" x14ac:dyDescent="0.25">
      <c r="A9" s="30">
        <v>0.083889</v>
      </c>
      <c r="B9" s="31">
        <v>-1.5085004177052779</v>
      </c>
      <c r="C9" s="31">
        <v>-1.5085004177052779</v>
      </c>
      <c r="D9" s="31">
        <v>-1.5085004177052779</v>
      </c>
      <c r="E9" s="31">
        <v>-1.5085004177052779</v>
      </c>
      <c r="F9" s="31">
        <v>-1.5085004177052779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11471675000</v>
      </c>
      <c r="C5" s="18">
        <v>9230702000</v>
      </c>
      <c r="D5" s="18">
        <v>7291488000</v>
      </c>
      <c r="E5" s="18">
        <v>1947195000</v>
      </c>
      <c r="F5" s="8" t="s">
        <v>84</v>
      </c>
    </row>
    <row r="6" spans="1:6" x14ac:dyDescent="0.25">
      <c r="A6" t="s">
        <v>44</v>
      </c>
      <c r="B6" s="18">
        <v>489014000</v>
      </c>
      <c r="C6" s="18">
        <v>145896000</v>
      </c>
      <c r="D6" s="18">
        <v>-529955000</v>
      </c>
      <c r="E6" s="18">
        <v>-206444000</v>
      </c>
      <c r="F6" s="8" t="s">
        <v>85</v>
      </c>
    </row>
    <row r="7" spans="1:6" x14ac:dyDescent="0.25">
      <c r="A7" t="s">
        <v>86</v>
      </c>
      <c r="B7" s="18">
        <v>348651000</v>
      </c>
      <c r="C7" s="18">
        <v>414761000</v>
      </c>
      <c r="D7" s="18">
        <v>456294000</v>
      </c>
      <c r="E7" s="18">
        <v>199810000</v>
      </c>
      <c r="F7" s="8" t="s">
        <v>87</v>
      </c>
    </row>
    <row r="8" spans="1:6" x14ac:dyDescent="0.25">
      <c r="A8" t="s">
        <v>88</v>
      </c>
      <c r="B8" s="18">
        <v>122569000</v>
      </c>
      <c r="C8" s="18">
        <v>101611000</v>
      </c>
      <c r="D8" s="18">
        <v>116356000</v>
      </c>
      <c r="E8" s="18">
        <v>29163000</v>
      </c>
      <c r="F8" s="8" t="s">
        <v>89</v>
      </c>
    </row>
    <row r="9" spans="1:6" x14ac:dyDescent="0.25">
      <c r="A9" t="s">
        <v>90</v>
      </c>
      <c r="B9" s="18">
        <v>97738000</v>
      </c>
      <c r="C9" s="18">
        <v>167045000</v>
      </c>
      <c r="D9" s="18">
        <v>-624749000</v>
      </c>
      <c r="E9" s="18">
        <v>-1050304000</v>
      </c>
      <c r="F9" s="8" t="s">
        <v>91</v>
      </c>
    </row>
    <row r="10" spans="1:6" x14ac:dyDescent="0.25">
      <c r="A10" t="s">
        <v>92</v>
      </c>
      <c r="B10" s="18">
        <v>2953297000</v>
      </c>
      <c r="C10" s="18">
        <v>3119340000</v>
      </c>
      <c r="D10" s="18">
        <v>3550932000</v>
      </c>
      <c r="E10" s="18">
        <v>3357385000</v>
      </c>
      <c r="F10" s="8" t="s">
        <v>93</v>
      </c>
    </row>
    <row r="11" spans="1:6" x14ac:dyDescent="0.25">
      <c r="A11" t="s">
        <v>94</v>
      </c>
      <c r="B11" s="18">
        <v>1809299000</v>
      </c>
      <c r="C11" s="18">
        <v>1957311000</v>
      </c>
      <c r="D11" s="18">
        <v>2273260000</v>
      </c>
      <c r="E11" s="18">
        <v>2090843000</v>
      </c>
      <c r="F11" s="8" t="s">
        <v>95</v>
      </c>
    </row>
    <row r="12" spans="1:6" x14ac:dyDescent="0.25">
      <c r="A12" t="s">
        <v>32</v>
      </c>
      <c r="B12" s="34">
        <v>3417130000</v>
      </c>
      <c r="C12" s="34">
        <v>3386055583</v>
      </c>
      <c r="D12" s="34">
        <v>3113709000</v>
      </c>
      <c r="E12" s="34">
        <v>1569454950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2026-09-19T01:06:37Z</dcterms:modified>
</cp:coreProperties>
</file>