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<sst xmlns="http://schemas.openxmlformats.org/spreadsheetml/2006/main" count="114" uniqueCount="102">
  <si>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JD Health International Inc. (6618.HK)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</si>
  <si>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</si>
  <si>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</si>
  <si>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</si>
  <si>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</si>
  <si>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</si>
  <si>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</si>
  <si>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</si>
  <si>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</si>
  <si>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</si>
  <si>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</si>
  <si>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</si>
  <si>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</si>
  <si>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</si>
  <si>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</si>
  <si>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</si>
  <si>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</si>
  <si>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</si>
  <si>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</si>
  <si>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</si>
  <si>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</si>
  <si>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</si>
  <si>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</si>
  <si>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</si>
  <si>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</si>
  <si>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</si>
  <si>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</si>
  <si>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</si>
  <si>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</si>
  <si>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</si>
  <si>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</si>
  <si>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</si>
  <si>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</si>
  <si>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</si>
  <si>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</si>
  <si>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</si>
  <si>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</si>
  <si>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</si>
  <si>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</si>
  <si>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</si>
  <si>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</si>
  <si>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</si>
  <si>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</si>
  <si>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</si>
  <si>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</si>
  <si>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</si>
  <si>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</si>
  <si>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</si>
  <si>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</si>
  <si>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</si>
  <si>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</si>
  <si>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</si>
  <si>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</si>
  <si>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</si>
  <si>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</si>
  <si>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</si>
  <si>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</si>
  <si>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</si>
  <si>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</si>
  <si>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</si>
  <si>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</si>
  <si>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</si>
  <si>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</si>
  <si>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</si>
  <si>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</si>
  <si>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</si>
  <si>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</si>
  <si>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</si>
  <si>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</si>
  <si>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</si>
  <si>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</si>
  <si>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</si>
  <si>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</si>
  <si>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</si>
  <si>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</si>
  <si>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</si>
  <si>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</si>
  <si>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</si>
  <si>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</si>
  <si>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</si>
  <si>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</si>
  <si>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</si>
  <si>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</si>
  <si>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</si>
  <si>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</si>
  <si>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</si>
  <si>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</si>
  <si>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</si>
  <si>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</si>
  <si>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</si>
  <si>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</si>
  <si>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</si>
  <si>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</si>
  <si>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</si>
  <si>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</si>
  <si>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</si>
  <si>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</si>
  <si>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</si>
  <si>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</si>
  <si>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Capital expenditure runs at 1.3% of revenue against depreciation of 0.4%.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</si>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</sst>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0.16259783365803093</v>
      </c>
    </row>
    <row r="7" spans="1:2" x14ac:dyDescent="0.25">
      <c r="A7" t="s">
        <v>5</v>
      </c>
      <c r="B7" s="6">
        <v>0.022792688112640715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0.0036907621896446565</v>
      </c>
    </row>
    <row r="10" spans="1:2" x14ac:dyDescent="0.25">
      <c r="A10" t="s">
        <v>8</v>
      </c>
      <c r="B10" s="6">
        <v>0.013195543061124488</v>
      </c>
    </row>
    <row r="11" spans="1:2" x14ac:dyDescent="0.25">
      <c r="A11" t="s">
        <v>9</v>
      </c>
      <c r="B11" s="6">
        <v>-0.11333559398177946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16.15858835080131</v>
      </c>
    </row>
    <row r="14" spans="1:3" x14ac:dyDescent="0.25">
      <c r="A14" t="s">
        <v>12</v>
      </c>
      <c r="B14" s="6">
        <v>0.10979777522570451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1.1179199999999998</v>
      </c>
      <c r="C19" s="8" t="s">
        <v>19</v>
      </c>
    </row>
    <row r="20" spans="1:2" x14ac:dyDescent="0.25">
      <c r="A20" t="s">
        <v>20</v>
      </c>
      <c r="B20" s="10">
        <f>B17+B19*B18</f>
        <v>0.11025439999999999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115716186112</v>
      </c>
    </row>
    <row r="23" spans="1:2" x14ac:dyDescent="0.25">
      <c r="A23" t="s">
        <v>24</v>
      </c>
      <c r="B23" s="11">
        <v>636017000</v>
      </c>
    </row>
    <row r="24" spans="1:2" x14ac:dyDescent="0.25">
      <c r="A24" t="s">
        <v>25</v>
      </c>
      <c r="B24" s="10">
        <f>B22/(B22+B23)</f>
        <v>0.9945336918168385</v>
      </c>
    </row>
    <row r="25" spans="1:2" x14ac:dyDescent="0.25">
      <c r="A25" t="s">
        <v>26</v>
      </c>
      <c r="B25" s="10">
        <f>1-B24</f>
        <v>0.005466308183161517</v>
      </c>
    </row>
    <row r="26" spans="1:2" x14ac:dyDescent="0.25">
      <c r="A26" t="s">
        <v>27</v>
      </c>
      <c r="B26" s="12">
        <f>B24*B20+B25*B21*(1-B8)</f>
        <v>0.10979777522570451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73441487000</v>
      </c>
      <c r="C29" s="8" t="s">
        <v>30</v>
      </c>
    </row>
    <row r="30" spans="1:2" x14ac:dyDescent="0.25">
      <c r="A30" t="s">
        <v>31</v>
      </c>
      <c r="B30" s="11">
        <v>-47514485000</v>
      </c>
    </row>
    <row r="31" spans="1:2" x14ac:dyDescent="0.25">
      <c r="A31" t="s">
        <v>32</v>
      </c>
      <c r="B31" s="13">
        <v>3196251000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0.16259783365803093</v>
      </c>
      <c r="C5" s="10">
        <f>Assumptions!B6</f>
        <v>0.16259783365803093</v>
      </c>
      <c r="D5" s="10">
        <f>Assumptions!B6</f>
        <v>0.16259783365803093</v>
      </c>
      <c r="E5" s="10">
        <f>Assumptions!B6</f>
        <v>0.16259783365803093</v>
      </c>
      <c r="F5" s="10">
        <f>Assumptions!B6</f>
        <v>0.16259783365803093</v>
      </c>
    </row>
    <row r="6" spans="1:6" x14ac:dyDescent="0.25">
      <c r="A6" t="s">
        <v>43</v>
      </c>
      <c r="B6" s="18">
        <f>Assumptions!B29*(1+B5)</f>
        <v>85382913686.82445</v>
      </c>
      <c r="C6" s="18">
        <f>B6*(1+C5)</f>
        <v>99265990483.71274</v>
      </c>
      <c r="D6" s="18">
        <f>C6*(1+D5)</f>
        <v>115406425492.28314</v>
      </c>
      <c r="E6" s="18">
        <f>D6*(1+E5)</f>
        <v>134171260267.54533</v>
      </c>
      <c r="F6" s="18">
        <f>E6*(1+F5)</f>
        <v>155987216526.21603</v>
      </c>
    </row>
    <row r="7" spans="1:6" x14ac:dyDescent="0.25">
      <c r="A7" t="s">
        <v>5</v>
      </c>
      <c r="B7" s="10">
        <f>Assumptions!B7</f>
        <v>0.022792688112640715</v>
      </c>
      <c r="C7" s="10">
        <f>Assumptions!B7</f>
        <v>0.022792688112640715</v>
      </c>
      <c r="D7" s="10">
        <f>Assumptions!B7</f>
        <v>0.022792688112640715</v>
      </c>
      <c r="E7" s="10">
        <f>Assumptions!B7</f>
        <v>0.022792688112640715</v>
      </c>
      <c r="F7" s="10">
        <f>Assumptions!B7</f>
        <v>0.022792688112640715</v>
      </c>
    </row>
    <row r="8" spans="1:6" x14ac:dyDescent="0.25">
      <c r="A8" t="s">
        <v>44</v>
      </c>
      <c r="B8" s="18">
        <f>B6*B7</f>
        <v>1946106121.8123116</v>
      </c>
      <c r="C8" s="18">
        <f>C6*C7</f>
        <v>2262538761.287626</v>
      </c>
      <c r="D8" s="18">
        <f>D6*D7</f>
        <v>2630422662.440318</v>
      </c>
      <c r="E8" s="18">
        <f>E6*E7</f>
        <v>3058123688.958104</v>
      </c>
      <c r="F8" s="18">
        <f>F6*F7</f>
        <v>3555367975.840997</v>
      </c>
    </row>
    <row r="9" spans="1:6" x14ac:dyDescent="0.25">
      <c r="A9" t="s">
        <v>45</v>
      </c>
      <c r="B9" s="18">
        <f>B8*(1-Assumptions!B8)</f>
        <v>1624998611.7132802</v>
      </c>
      <c r="C9" s="18">
        <f>C8*(1-Assumptions!B8)</f>
        <v>1889219865.6751676</v>
      </c>
      <c r="D9" s="18">
        <f>D8*(1-Assumptions!B8)</f>
        <v>2196402923.1376657</v>
      </c>
      <c r="E9" s="18">
        <f>E8*(1-Assumptions!B8)</f>
        <v>2553533280.280017</v>
      </c>
      <c r="F9" s="18">
        <f>F8*(1-Assumptions!B8)</f>
        <v>2968732259.8272324</v>
      </c>
    </row>
    <row r="10" spans="1:6" x14ac:dyDescent="0.25">
      <c r="A10" t="s">
        <v>46</v>
      </c>
      <c r="B10" s="18">
        <f>B6*Assumptions!B9</f>
        <v>315128029.4770249</v>
      </c>
      <c r="C10" s="18">
        <f>C6*Assumptions!B9</f>
        <v>366367164.39491326</v>
      </c>
      <c r="D10" s="18">
        <f>D6*Assumptions!B9</f>
        <v>425937671.64896184</v>
      </c>
      <c r="E10" s="18">
        <f>E6*Assumptions!B9</f>
        <v>495194214.3324287</v>
      </c>
      <c r="F10" s="18">
        <f>F6*Assumptions!B9</f>
        <v>575711720.8228723</v>
      </c>
    </row>
    <row r="11" spans="1:6" x14ac:dyDescent="0.25">
      <c r="A11" t="s">
        <v>47</v>
      </c>
      <c r="B11" s="18">
        <f>-B6*Assumptions!B10</f>
        <v>-1126673914.2387674</v>
      </c>
      <c r="C11" s="18">
        <f>-C6*Assumptions!B10</f>
        <v>-1309868651.933005</v>
      </c>
      <c r="D11" s="18">
        <f>-D6*Assumptions!B10</f>
        <v>-1522850457.113877</v>
      </c>
      <c r="E11" s="18">
        <f>-E6*Assumptions!B10</f>
        <v>-1770462642.4257355</v>
      </c>
      <c r="F11" s="18">
        <f>-F6*Assumptions!B10</f>
        <v>-2058336032.6566331</v>
      </c>
    </row>
    <row r="12" spans="1:6" x14ac:dyDescent="0.25">
      <c r="A12" t="s">
        <v>48</v>
      </c>
      <c r="B12" s="18">
        <f>-(B6-Assumptions!B29)*Assumptions!B11</f>
        <v>1353388686.5411215</v>
      </c>
      <c r="C12" s="18">
        <f>-(C6-B6)*Assumptions!B11</f>
        <v>1573446755.0699947</v>
      </c>
      <c r="D12" s="18">
        <f>-(D6-C6)*Assumptions!B11</f>
        <v>1829285788.8206344</v>
      </c>
      <c r="E12" s="18">
        <f>-(E6-D6)*Assumptions!B11</f>
        <v>2126723695.2242916</v>
      </c>
      <c r="F12" s="18">
        <f>-(F6-E6)*Assumptions!B11</f>
        <v>2472524360.856963</v>
      </c>
    </row>
    <row r="13" spans="1:6" x14ac:dyDescent="0.25">
      <c r="A13" s="19" t="s">
        <v>49</v>
      </c>
      <c r="B13" s="20">
        <f>B9+B10+B11+B12</f>
        <v>2166841413.4926596</v>
      </c>
      <c r="C13" s="20">
        <f>C9+C10+C11+C12</f>
        <v>2519165133.2070704</v>
      </c>
      <c r="D13" s="20">
        <f>D9+D10+D11+D12</f>
        <v>2928775926.4933853</v>
      </c>
      <c r="E13" s="20">
        <f>E9+E10+E11+E12</f>
        <v>3404988547.411002</v>
      </c>
      <c r="F13" s="20">
        <f>F9+F10+F11+F12</f>
        <v>3958632308.8504343</v>
      </c>
    </row>
    <row r="14" spans="1:6" x14ac:dyDescent="0.25">
      <c r="A14" t="s">
        <v>50</v>
      </c>
      <c r="B14" s="21">
        <f>1/(1+Assumptions!$B$26)^(1-0.5*Assumptions!$B$32)</f>
        <v>0.9492444684967588</v>
      </c>
      <c r="C14" s="21">
        <f>1/(1+Assumptions!$B$26)^(2-0.5*Assumptions!$B$32)</f>
        <v>0.8553310248830754</v>
      </c>
      <c r="D14" s="21">
        <f>1/(1+Assumptions!$B$26)^(3-0.5*Assumptions!$B$32)</f>
        <v>0.7707089020872502</v>
      </c>
      <c r="E14" s="21">
        <f>1/(1+Assumptions!$B$26)^(4-0.5*Assumptions!$B$32)</f>
        <v>0.6944588638506756</v>
      </c>
      <c r="F14" s="21">
        <f>1/(1+Assumptions!$B$26)^(5-0.5*Assumptions!$B$32)</f>
        <v>0.6257526184979425</v>
      </c>
    </row>
    <row r="15" spans="1:6" x14ac:dyDescent="0.25">
      <c r="A15" s="19" t="s">
        <v>51</v>
      </c>
      <c r="B15" s="20">
        <f>B13*B14</f>
        <v>2056862225.8676052</v>
      </c>
      <c r="C15" s="20">
        <f>C13*C14</f>
        <v>2154720095.2357125</v>
      </c>
      <c r="D15" s="20">
        <f>D13*D14</f>
        <v>2257233678.767286</v>
      </c>
      <c r="E15" s="20">
        <f>E13*E14</f>
        <v>2364624478.0596066</v>
      </c>
      <c r="F15" s="20">
        <f>F13*F14</f>
        <v>2477124532.9337153</v>
      </c>
    </row>
    <row r="17" spans="1:2" x14ac:dyDescent="0.25">
      <c r="A17" s="22" t="s">
        <v>52</v>
      </c>
      <c r="B17" s="23">
        <f>SUM(B15:F15)</f>
        <v>11310565010.863926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3958632308.8504343</v>
      </c>
    </row>
    <row r="5" spans="1:2" x14ac:dyDescent="0.25">
      <c r="A5" t="s">
        <v>56</v>
      </c>
      <c r="B5" s="18">
        <f>IF(Assumptions!$B$33=0,B4,B4-Forecast!F11-Forecast!F10-Forecast!F12)</f>
        <v>2968732259.8272324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0.22769131659188033</v>
      </c>
    </row>
    <row r="7" spans="1:2" x14ac:dyDescent="0.25">
      <c r="A7" t="s">
        <v>58</v>
      </c>
      <c r="B7" s="18">
        <f>-MAX(Forecast!F9,0)*B6</f>
        <v>-675954556.8488507</v>
      </c>
    </row>
    <row r="8" spans="1:2" x14ac:dyDescent="0.25">
      <c r="A8" t="s">
        <v>59</v>
      </c>
      <c r="B8" s="18">
        <f>IF(OR(Assumptions!$B$33=0,Assumptions!B12&lt;=0),B5,MAX(B5+B7,0))</f>
        <v>2292777702.9783816</v>
      </c>
    </row>
    <row r="9" spans="1:2" x14ac:dyDescent="0.25">
      <c r="A9" t="s">
        <v>60</v>
      </c>
      <c r="B9" s="18">
        <f>B8*(1+Assumptions!B12)/(Assumptions!B26-Assumptions!B12)</f>
        <v>27714136830.80288</v>
      </c>
    </row>
    <row r="10" spans="1:2" x14ac:dyDescent="0.25">
      <c r="A10" t="s">
        <v>61</v>
      </c>
      <c r="B10" s="18">
        <f>B9/(1+Assumptions!B26)^(5-0.5*Assumptions!B32)</f>
        <v>17342193691.28517</v>
      </c>
    </row>
    <row r="11" spans="1:2" x14ac:dyDescent="0.25">
      <c r="A11" t="s">
        <v>62</v>
      </c>
      <c r="B11" s="18">
        <f>Forecast!B17+B10</f>
        <v>28652758702.149097</v>
      </c>
    </row>
    <row r="12" spans="1:2" x14ac:dyDescent="0.25">
      <c r="A12" t="s">
        <v>63</v>
      </c>
      <c r="B12" s="18">
        <f>-Assumptions!B30</f>
        <v>47514485000</v>
      </c>
    </row>
    <row r="13" spans="1:2" x14ac:dyDescent="0.25">
      <c r="A13" t="s">
        <v>64</v>
      </c>
      <c r="B13" s="18">
        <f>B11+B12</f>
        <v>76167243702.1491</v>
      </c>
    </row>
    <row r="14" spans="1:2" x14ac:dyDescent="0.25">
      <c r="A14" s="19" t="s">
        <v>65</v>
      </c>
      <c r="B14" s="24">
        <f>B13/Assumptions!B31</f>
        <v>23.830182204760856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4131079696.6638694</v>
      </c>
    </row>
    <row r="18" spans="1:2" x14ac:dyDescent="0.25">
      <c r="A18" t="s">
        <v>60</v>
      </c>
      <c r="B18" s="18">
        <f>B17*Assumptions!B13</f>
        <v>66752416262.744606</v>
      </c>
    </row>
    <row r="19" spans="1:2" x14ac:dyDescent="0.25">
      <c r="A19" t="s">
        <v>61</v>
      </c>
      <c r="B19" s="18">
        <f>B18/(1+Assumptions!B26)^(5-0.5*Assumptions!B32)</f>
        <v>41770499267.47708</v>
      </c>
    </row>
    <row r="20" spans="1:2" x14ac:dyDescent="0.25">
      <c r="A20" t="s">
        <v>62</v>
      </c>
      <c r="B20" s="18">
        <f>Forecast!B17+B19</f>
        <v>53081064278.341</v>
      </c>
    </row>
    <row r="21" spans="1:2" x14ac:dyDescent="0.25">
      <c r="A21" t="s">
        <v>63</v>
      </c>
      <c r="B21" s="18">
        <f>-Assumptions!B30</f>
        <v>47514485000</v>
      </c>
    </row>
    <row r="22" spans="1:2" x14ac:dyDescent="0.25">
      <c r="A22" t="s">
        <v>64</v>
      </c>
      <c r="B22" s="18">
        <f>B20+B21</f>
        <v>100595549278.341</v>
      </c>
    </row>
    <row r="23" spans="1:2" x14ac:dyDescent="0.25">
      <c r="A23" s="19" t="s">
        <v>65</v>
      </c>
      <c r="B23" s="25">
        <f>B22/Assumptions!B31</f>
        <v>31.4729817146216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36.28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27.900377325334013</v>
      </c>
    </row>
    <row r="29" spans="1:2" x14ac:dyDescent="0.25">
      <c r="A29" s="19" t="s">
        <v>73</v>
      </c>
      <c r="B29" s="12">
        <f>B28/B26-1</f>
        <v>-0.23097085652331828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0.089798</v>
      </c>
      <c r="B5" s="31">
        <v>25.706188150316578</v>
      </c>
      <c r="C5" s="31">
        <v>25.741309926067757</v>
      </c>
      <c r="D5" s="31">
        <v>25.77643170181893</v>
      </c>
      <c r="E5" s="31">
        <v>25.8115534775701</v>
      </c>
      <c r="F5" s="31">
        <v>25.846675253321276</v>
      </c>
    </row>
    <row r="6" spans="1:6" x14ac:dyDescent="0.25">
      <c r="A6" s="30">
        <v>0.099798</v>
      </c>
      <c r="B6" s="31">
        <v>24.645675200254185</v>
      </c>
      <c r="C6" s="31">
        <v>24.676005042833907</v>
      </c>
      <c r="D6" s="31">
        <v>24.706334885413625</v>
      </c>
      <c r="E6" s="31">
        <v>24.736664727993347</v>
      </c>
      <c r="F6" s="31">
        <v>24.76699457057307</v>
      </c>
    </row>
    <row r="7" spans="1:6" x14ac:dyDescent="0.25">
      <c r="A7" s="30">
        <v>0.109798</v>
      </c>
      <c r="B7" s="31">
        <v>23.77722989253765</v>
      </c>
      <c r="C7" s="31">
        <v>23.803697093174623</v>
      </c>
      <c r="D7" s="32">
        <v>23.8301642938116</v>
      </c>
      <c r="E7" s="31">
        <v>23.85663149444857</v>
      </c>
      <c r="F7" s="31">
        <v>23.883098695085547</v>
      </c>
    </row>
    <row r="8" spans="1:6" x14ac:dyDescent="0.25">
      <c r="A8" s="30">
        <v>0.119798</v>
      </c>
      <c r="B8" s="31">
        <v>23.052840158828005</v>
      </c>
      <c r="C8" s="31">
        <v>23.076138338910663</v>
      </c>
      <c r="D8" s="31">
        <v>23.099436518993322</v>
      </c>
      <c r="E8" s="31">
        <v>23.122734699075984</v>
      </c>
      <c r="F8" s="31">
        <v>23.146032879158646</v>
      </c>
    </row>
    <row r="9" spans="1:6" x14ac:dyDescent="0.25">
      <c r="A9" s="30">
        <v>0.129798</v>
      </c>
      <c r="B9" s="31">
        <v>22.43928354815672</v>
      </c>
      <c r="C9" s="31">
        <v>22.459943464152875</v>
      </c>
      <c r="D9" s="31">
        <v>22.48060338014903</v>
      </c>
      <c r="E9" s="31">
        <v>22.501263296145193</v>
      </c>
      <c r="F9" s="31">
        <v>22.52192321214135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73441487000</v>
      </c>
      <c r="C5" s="18">
        <v>58159881000</v>
      </c>
      <c r="D5" s="18">
        <v>53529941000</v>
      </c>
      <c r="E5" s="18">
        <v>46736150000</v>
      </c>
      <c r="F5" s="8" t="s">
        <v>84</v>
      </c>
    </row>
    <row r="6" spans="1:6" x14ac:dyDescent="0.25">
      <c r="A6" t="s">
        <v>44</v>
      </c>
      <c r="B6" s="18">
        <v>3940782000</v>
      </c>
      <c r="C6" s="18">
        <v>1478764000</v>
      </c>
      <c r="D6" s="18">
        <v>700707000</v>
      </c>
      <c r="E6" s="18">
        <v>-46918000</v>
      </c>
      <c r="F6" s="8" t="s">
        <v>85</v>
      </c>
    </row>
    <row r="7" spans="1:6" x14ac:dyDescent="0.25">
      <c r="A7" t="s">
        <v>86</v>
      </c>
      <c r="B7" s="18">
        <v>279989000</v>
      </c>
      <c r="C7" s="18">
        <v>214695000</v>
      </c>
      <c r="D7" s="18">
        <v>227458000</v>
      </c>
      <c r="E7" s="18">
        <v>140676000</v>
      </c>
      <c r="F7" s="8" t="s">
        <v>87</v>
      </c>
    </row>
    <row r="8" spans="1:6" x14ac:dyDescent="0.25">
      <c r="A8" t="s">
        <v>88</v>
      </c>
      <c r="B8" s="18">
        <v>151009000</v>
      </c>
      <c r="C8" s="18">
        <v>46355000</v>
      </c>
      <c r="D8" s="18">
        <v>69333000</v>
      </c>
      <c r="E8" s="18">
        <v>2272954000</v>
      </c>
      <c r="F8" s="8" t="s">
        <v>89</v>
      </c>
    </row>
    <row r="9" spans="1:6" x14ac:dyDescent="0.25">
      <c r="A9" t="s">
        <v>90</v>
      </c>
      <c r="B9" s="18">
        <v>-3601402000</v>
      </c>
      <c r="C9" s="18">
        <v>-524737000</v>
      </c>
      <c r="D9" s="18">
        <v>-214381000</v>
      </c>
      <c r="E9" s="18">
        <v>-2849135000</v>
      </c>
      <c r="F9" s="8" t="s">
        <v>91</v>
      </c>
    </row>
    <row r="10" spans="1:6" x14ac:dyDescent="0.25">
      <c r="A10" t="s">
        <v>92</v>
      </c>
      <c r="B10" s="18">
        <v>636017000</v>
      </c>
      <c r="C10" s="18">
        <v>258393000</v>
      </c>
      <c r="D10" s="18">
        <v>214754000</v>
      </c>
      <c r="E10" s="18">
        <v>199410000</v>
      </c>
      <c r="F10" s="8" t="s">
        <v>93</v>
      </c>
    </row>
    <row r="11" spans="1:6" x14ac:dyDescent="0.25">
      <c r="A11" t="s">
        <v>94</v>
      </c>
      <c r="B11" s="18">
        <v>48150502000</v>
      </c>
      <c r="C11" s="18">
        <v>51235686000</v>
      </c>
      <c r="D11" s="18">
        <v>41221260000</v>
      </c>
      <c r="E11" s="18">
        <v>47671966000</v>
      </c>
      <c r="F11" s="8" t="s">
        <v>95</v>
      </c>
    </row>
    <row r="12" spans="1:6" x14ac:dyDescent="0.25">
      <c r="A12" t="s">
        <v>32</v>
      </c>
      <c r="B12" s="34">
        <v>3196251000</v>
      </c>
      <c r="C12" s="34">
        <v>3160278000</v>
      </c>
      <c r="D12" s="34">
        <v>3163985000</v>
      </c>
      <c r="E12" s="34">
        <v>3144376000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2026-09-19T00:10:00Z</dcterms:modified>
</cp:coreProperties>
</file>