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<sst xmlns="http://schemas.openxmlformats.org/spreadsheetml/2006/main" count="114" uniqueCount="102">
  <si>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Haier Smart Home Co., Ltd. (6690.HK)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</si>
  <si>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</si>
  <si>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</si>
  <si>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</si>
  <si>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</si>
  <si>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</si>
  <si>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</si>
  <si>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</si>
  <si>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</si>
  <si>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</si>
  <si>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</si>
  <si>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</si>
  <si>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</si>
  <si>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</si>
  <si>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</si>
  <si>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</si>
  <si>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</si>
  <si>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</si>
  <si>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</si>
  <si>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</si>
  <si>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</si>
  <si>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</si>
  <si>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</si>
  <si>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</si>
  <si>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</si>
  <si>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</si>
  <si>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</si>
  <si>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</si>
  <si>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</si>
  <si>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</si>
  <si>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</si>
  <si>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</si>
  <si>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</si>
  <si>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</si>
  <si>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</si>
  <si>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</si>
  <si>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</si>
  <si>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</si>
  <si>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</si>
  <si>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</si>
  <si>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</si>
  <si>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</si>
  <si>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</si>
  <si>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</si>
  <si>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</si>
  <si>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</si>
  <si>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</si>
  <si>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</si>
  <si>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</si>
  <si>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</si>
  <si>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</si>
  <si>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</si>
  <si>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</si>
  <si>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</si>
  <si>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</si>
  <si>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</si>
  <si>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</si>
  <si>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</si>
  <si>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</si>
  <si>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</si>
  <si>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</si>
  <si>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</si>
  <si>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</si>
  <si>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</si>
  <si>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</si>
  <si>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</si>
  <si>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</si>
  <si>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</si>
  <si>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</si>
  <si>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</si>
  <si>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</si>
  <si>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</si>
  <si>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</si>
  <si>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</si>
  <si>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</si>
  <si>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</si>
  <si>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</si>
  <si>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</si>
  <si>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</si>
  <si>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</si>
  <si>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</si>
  <si>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</si>
  <si>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</si>
  <si>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</si>
  <si>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</si>
  <si>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</si>
  <si>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</si>
  <si>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</si>
  <si>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</si>
  <si>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</si>
  <si>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</si>
  <si>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</si>
  <si>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</si>
  <si>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</si>
  <si>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</si>
  <si>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</si>
  <si>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</si>
  <si>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</si>
  <si>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</si>
  <si>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3.4% of revenue against depreciation of 2.6%.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</si>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</sst>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0.07470321478138353</v>
      </c>
    </row>
    <row r="7" spans="1:2" x14ac:dyDescent="0.25">
      <c r="A7" t="s">
        <v>5</v>
      </c>
      <c r="B7" s="6">
        <v>0.07709100660815019</v>
      </c>
    </row>
    <row r="8" spans="1:2" x14ac:dyDescent="0.25">
      <c r="A8" t="s">
        <v>6</v>
      </c>
      <c r="B8" s="6">
        <v>0.14787110261493353</v>
      </c>
    </row>
    <row r="9" spans="1:2" x14ac:dyDescent="0.25">
      <c r="A9" t="s">
        <v>7</v>
      </c>
      <c r="B9" s="6">
        <v>0.025985097641606964</v>
      </c>
    </row>
    <row r="10" spans="1:2" x14ac:dyDescent="0.25">
      <c r="A10" t="s">
        <v>8</v>
      </c>
      <c r="B10" s="6">
        <v>0.03416707273326172</v>
      </c>
    </row>
    <row r="11" spans="1:2" x14ac:dyDescent="0.25">
      <c r="A11" t="s">
        <v>9</v>
      </c>
      <c r="B11" s="6">
        <v>0.31021435592455776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5.862223566987241</v>
      </c>
    </row>
    <row r="14" spans="1:3" x14ac:dyDescent="0.25">
      <c r="A14" t="s">
        <v>12</v>
      </c>
      <c r="B14" s="6">
        <v>0.13456793312982773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0.6315</v>
      </c>
      <c r="C19" s="8" t="s">
        <v>19</v>
      </c>
    </row>
    <row r="20" spans="1:2" x14ac:dyDescent="0.25">
      <c r="A20" t="s">
        <v>20</v>
      </c>
      <c r="B20" s="10">
        <f>B17+B19*B18</f>
        <v>0.076205</v>
      </c>
    </row>
    <row r="21" spans="1:3" x14ac:dyDescent="0.25">
      <c r="A21" t="s">
        <v>21</v>
      </c>
      <c r="B21" s="6">
        <v>0.059691759475875274</v>
      </c>
      <c r="C21" s="8" t="s">
        <v>22</v>
      </c>
    </row>
    <row r="22" spans="1:2" x14ac:dyDescent="0.25">
      <c r="A22" t="s">
        <v>23</v>
      </c>
      <c r="B22" s="11">
        <v>191457558528</v>
      </c>
    </row>
    <row r="23" spans="1:2" x14ac:dyDescent="0.25">
      <c r="A23" t="s">
        <v>24</v>
      </c>
      <c r="B23" s="11">
        <v>45316978620.77</v>
      </c>
    </row>
    <row r="24" spans="1:2" x14ac:dyDescent="0.25">
      <c r="A24" t="s">
        <v>25</v>
      </c>
      <c r="B24" s="10">
        <f>B22/(B22+B23)</f>
        <v>0.8086070437874134</v>
      </c>
    </row>
    <row r="25" spans="1:2" x14ac:dyDescent="0.25">
      <c r="A25" t="s">
        <v>26</v>
      </c>
      <c r="B25" s="10">
        <f>1-B24</f>
        <v>0.19139295621258656</v>
      </c>
    </row>
    <row r="26" spans="1:2" x14ac:dyDescent="0.25">
      <c r="A26" t="s">
        <v>27</v>
      </c>
      <c r="B26" s="12">
        <f>B24*B20+B25*B21*(1-B8)</f>
        <v>0.07135511649669568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302346783918.3</v>
      </c>
      <c r="C29" s="8" t="s">
        <v>30</v>
      </c>
    </row>
    <row r="30" spans="1:2" x14ac:dyDescent="0.25">
      <c r="A30" t="s">
        <v>31</v>
      </c>
      <c r="B30" s="11">
        <v>-4338949582.060005</v>
      </c>
    </row>
    <row r="31" spans="1:2" x14ac:dyDescent="0.25">
      <c r="A31" t="s">
        <v>32</v>
      </c>
      <c r="B31" s="13">
        <v>9310856297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0.07470321478138353</v>
      </c>
      <c r="C5" s="10">
        <f>Assumptions!B6</f>
        <v>0.07470321478138353</v>
      </c>
      <c r="D5" s="10">
        <f>Assumptions!B6</f>
        <v>0.07470321478138353</v>
      </c>
      <c r="E5" s="10">
        <f>Assumptions!B6</f>
        <v>0.07470321478138353</v>
      </c>
      <c r="F5" s="10">
        <f>Assumptions!B6</f>
        <v>0.07470321478138353</v>
      </c>
    </row>
    <row r="6" spans="1:6" x14ac:dyDescent="0.25">
      <c r="A6" t="s">
        <v>43</v>
      </c>
      <c r="B6" s="18">
        <f>Assumptions!B29*(1+B5)</f>
        <v>324933060655.8093</v>
      </c>
      <c r="C6" s="18">
        <f>B6*(1+C5)</f>
        <v>349206604875.55255</v>
      </c>
      <c r="D6" s="18">
        <f>C6*(1+D5)</f>
        <v>375293460882.6487</v>
      </c>
      <c r="E6" s="18">
        <f>D6*(1+E5)</f>
        <v>403329088897.0139</v>
      </c>
      <c r="F6" s="18">
        <f>E6*(1+F5)</f>
        <v>433459068452.4673</v>
      </c>
    </row>
    <row r="7" spans="1:6" x14ac:dyDescent="0.25">
      <c r="A7" t="s">
        <v>5</v>
      </c>
      <c r="B7" s="10">
        <f>Assumptions!B7</f>
        <v>0.07709100660815019</v>
      </c>
      <c r="C7" s="10">
        <f>Assumptions!B7</f>
        <v>0.07709100660815019</v>
      </c>
      <c r="D7" s="10">
        <f>Assumptions!B7</f>
        <v>0.07709100660815019</v>
      </c>
      <c r="E7" s="10">
        <f>Assumptions!B7</f>
        <v>0.07709100660815019</v>
      </c>
      <c r="F7" s="10">
        <f>Assumptions!B7</f>
        <v>0.07709100660815019</v>
      </c>
    </row>
    <row r="8" spans="1:6" x14ac:dyDescent="0.25">
      <c r="A8" t="s">
        <v>44</v>
      </c>
      <c r="B8" s="18">
        <f>B6*B7</f>
        <v>25049416726.22346</v>
      </c>
      <c r="C8" s="18">
        <f>C6*C7</f>
        <v>26920688684.07091</v>
      </c>
      <c r="D8" s="18">
        <f>D6*D7</f>
        <v>28931750672.899822</v>
      </c>
      <c r="E8" s="18">
        <f>E6*E7</f>
        <v>31093045457.418896</v>
      </c>
      <c r="F8" s="18">
        <f>F6*F7</f>
        <v>33415795910.431778</v>
      </c>
    </row>
    <row r="9" spans="1:6" x14ac:dyDescent="0.25">
      <c r="A9" t="s">
        <v>45</v>
      </c>
      <c r="B9" s="18">
        <f>B8*(1-Assumptions!B8)</f>
        <v>21345331855.05584</v>
      </c>
      <c r="C9" s="18">
        <f>C8*(1-Assumptions!B8)</f>
        <v>22939896765.203983</v>
      </c>
      <c r="D9" s="18">
        <f>D8*(1-Assumptions!B8)</f>
        <v>24653580800.31778</v>
      </c>
      <c r="E9" s="18">
        <f>E8*(1-Assumptions!B8)</f>
        <v>26495282541.974113</v>
      </c>
      <c r="F9" s="18">
        <f>F8*(1-Assumptions!B8)</f>
        <v>28474565324.400646</v>
      </c>
    </row>
    <row r="10" spans="1:6" x14ac:dyDescent="0.25">
      <c r="A10" t="s">
        <v>46</v>
      </c>
      <c r="B10" s="18">
        <f>B6*Assumptions!B9</f>
        <v>8443417308.127403</v>
      </c>
      <c r="C10" s="18">
        <f>C6*Assumptions!B9</f>
        <v>9074167724.785295</v>
      </c>
      <c r="D10" s="18">
        <f>D6*Assumptions!B9</f>
        <v>9752037225.29223</v>
      </c>
      <c r="E10" s="18">
        <f>E6*Assumptions!B9</f>
        <v>10480545756.689281</v>
      </c>
      <c r="F10" s="18">
        <f>F6*Assumptions!B9</f>
        <v>11263476217.37736</v>
      </c>
    </row>
    <row r="11" spans="1:6" x14ac:dyDescent="0.25">
      <c r="A11" t="s">
        <v>47</v>
      </c>
      <c r="B11" s="18">
        <f>-B6*Assumptions!B10</f>
        <v>-11102011516.86838</v>
      </c>
      <c r="C11" s="18">
        <f>-C6*Assumptions!B10</f>
        <v>-11931367467.718391</v>
      </c>
      <c r="D11" s="18">
        <f>-D6*Assumptions!B10</f>
        <v>-12822678974.29497</v>
      </c>
      <c r="E11" s="18">
        <f>-E6*Assumptions!B10</f>
        <v>-13780574315.784458</v>
      </c>
      <c r="F11" s="18">
        <f>-F6*Assumptions!B10</f>
        <v>-14810027518.707321</v>
      </c>
    </row>
    <row r="12" spans="1:6" x14ac:dyDescent="0.25">
      <c r="A12" t="s">
        <v>48</v>
      </c>
      <c r="B12" s="18">
        <f>-(B6-Assumptions!B29)*Assumptions!B11</f>
        <v>-7006587290.860281</v>
      </c>
      <c r="C12" s="18">
        <f>-(C6-B6)*Assumptions!B11</f>
        <v>-7530001886.133917</v>
      </c>
      <c r="D12" s="18">
        <f>-(D6-C6)*Assumptions!B11</f>
        <v>-8092517234.338007</v>
      </c>
      <c r="E12" s="18">
        <f>-(E6-D6)*Assumptions!B11</f>
        <v>-8697054287.4168</v>
      </c>
      <c r="F12" s="18">
        <f>-(F6-E6)*Assumptions!B11</f>
        <v>-9346752201.81506</v>
      </c>
    </row>
    <row r="13" spans="1:6" x14ac:dyDescent="0.25">
      <c r="A13" s="19" t="s">
        <v>49</v>
      </c>
      <c r="B13" s="20">
        <f>B9+B10+B11+B12</f>
        <v>11680150355.454584</v>
      </c>
      <c r="C13" s="20">
        <f>C9+C10+C11+C12</f>
        <v>12552695136.136972</v>
      </c>
      <c r="D13" s="20">
        <f>D9+D10+D11+D12</f>
        <v>13490421816.977034</v>
      </c>
      <c r="E13" s="20">
        <f>E9+E10+E11+E12</f>
        <v>14498199695.462133</v>
      </c>
      <c r="F13" s="20">
        <f>F9+F10+F11+F12</f>
        <v>15581261821.255627</v>
      </c>
    </row>
    <row r="14" spans="1:6" x14ac:dyDescent="0.25">
      <c r="A14" t="s">
        <v>50</v>
      </c>
      <c r="B14" s="21">
        <f>1/(1+Assumptions!$B$26)^(1-0.5*Assumptions!$B$32)</f>
        <v>0.9661249014117178</v>
      </c>
      <c r="C14" s="21">
        <f>1/(1+Assumptions!$B$26)^(2-0.5*Assumptions!$B$32)</f>
        <v>0.9017783987170584</v>
      </c>
      <c r="D14" s="21">
        <f>1/(1+Assumptions!$B$26)^(3-0.5*Assumptions!$B$32)</f>
        <v>0.8417175452205344</v>
      </c>
      <c r="E14" s="21">
        <f>1/(1+Assumptions!$B$26)^(4-0.5*Assumptions!$B$32)</f>
        <v>0.7856569052219863</v>
      </c>
      <c r="F14" s="21">
        <f>1/(1+Assumptions!$B$26)^(5-0.5*Assumptions!$B$32)</f>
        <v>0.7333300538023887</v>
      </c>
    </row>
    <row r="15" spans="1:6" x14ac:dyDescent="0.25">
      <c r="A15" s="19" t="s">
        <v>51</v>
      </c>
      <c r="B15" s="20">
        <f>B13*B14</f>
        <v>11284484110.6376</v>
      </c>
      <c r="C15" s="20">
        <f>C13*C14</f>
        <v>11319749319.449007</v>
      </c>
      <c r="D15" s="20">
        <f>D13*D14</f>
        <v>11355124735.77545</v>
      </c>
      <c r="E15" s="20">
        <f>E13*E14</f>
        <v>11390610704.027124</v>
      </c>
      <c r="F15" s="20">
        <f>F13*F14</f>
        <v>11426207569.690493</v>
      </c>
    </row>
    <row r="17" spans="1:2" x14ac:dyDescent="0.25">
      <c r="A17" s="22" t="s">
        <v>52</v>
      </c>
      <c r="B17" s="23">
        <f>SUM(B15:F15)</f>
        <v>56776176439.57967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15581261821.255627</v>
      </c>
    </row>
    <row r="5" spans="1:2" x14ac:dyDescent="0.25">
      <c r="A5" t="s">
        <v>56</v>
      </c>
      <c r="B5" s="18">
        <f>IF(Assumptions!$B$33=0,B4,B4-Forecast!F11-Forecast!F10-Forecast!F12)</f>
        <v>30203298320.131897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0.1857797724802731</v>
      </c>
    </row>
    <row r="7" spans="1:2" x14ac:dyDescent="0.25">
      <c r="A7" t="s">
        <v>58</v>
      </c>
      <c r="B7" s="18">
        <f>-MAX(Forecast!F9,0)*B6</f>
        <v>-5611161890.067919</v>
      </c>
    </row>
    <row r="8" spans="1:2" x14ac:dyDescent="0.25">
      <c r="A8" t="s">
        <v>59</v>
      </c>
      <c r="B8" s="18">
        <f>IF(OR(Assumptions!$B$33=0,Assumptions!B12&lt;=0),B5,MAX(B5+B7,0))</f>
        <v>24592136430.06398</v>
      </c>
    </row>
    <row r="9" spans="1:2" x14ac:dyDescent="0.25">
      <c r="A9" t="s">
        <v>60</v>
      </c>
      <c r="B9" s="18">
        <f>B8*(1+Assumptions!B12)/(Assumptions!B26-Assumptions!B12)</f>
        <v>543779020436.9867</v>
      </c>
    </row>
    <row r="10" spans="1:2" x14ac:dyDescent="0.25">
      <c r="A10" t="s">
        <v>61</v>
      </c>
      <c r="B10" s="18">
        <f>B9/(1+Assumptions!B26)^(5-0.5*Assumptions!B32)</f>
        <v>398769498313.66565</v>
      </c>
    </row>
    <row r="11" spans="1:2" x14ac:dyDescent="0.25">
      <c r="A11" t="s">
        <v>62</v>
      </c>
      <c r="B11" s="18">
        <f>Forecast!B17+B10</f>
        <v>455545674753.2453</v>
      </c>
    </row>
    <row r="12" spans="1:2" x14ac:dyDescent="0.25">
      <c r="A12" t="s">
        <v>63</v>
      </c>
      <c r="B12" s="18">
        <f>-Assumptions!B30</f>
        <v>4338949582.059998</v>
      </c>
    </row>
    <row r="13" spans="1:2" x14ac:dyDescent="0.25">
      <c r="A13" t="s">
        <v>64</v>
      </c>
      <c r="B13" s="18">
        <f>B11+B12</f>
        <v>459884624335.3053</v>
      </c>
    </row>
    <row r="14" spans="1:2" x14ac:dyDescent="0.25">
      <c r="A14" s="19" t="s">
        <v>65</v>
      </c>
      <c r="B14" s="24">
        <f>B13/Assumptions!B31</f>
        <v>49.39230181046637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44679272127.809135</v>
      </c>
    </row>
    <row r="18" spans="1:2" x14ac:dyDescent="0.25">
      <c r="A18" t="s">
        <v>60</v>
      </c>
      <c r="B18" s="18">
        <f>B17*Assumptions!B13</f>
        <v>261919882023.4789</v>
      </c>
    </row>
    <row r="19" spans="1:2" x14ac:dyDescent="0.25">
      <c r="A19" t="s">
        <v>61</v>
      </c>
      <c r="B19" s="18">
        <f>B18/(1+Assumptions!B26)^(5-0.5*Assumptions!B32)</f>
        <v>192073721176.19308</v>
      </c>
    </row>
    <row r="20" spans="1:2" x14ac:dyDescent="0.25">
      <c r="A20" t="s">
        <v>62</v>
      </c>
      <c r="B20" s="18">
        <f>Forecast!B17+B19</f>
        <v>248849897615.77277</v>
      </c>
    </row>
    <row r="21" spans="1:2" x14ac:dyDescent="0.25">
      <c r="A21" t="s">
        <v>63</v>
      </c>
      <c r="B21" s="18">
        <f>-Assumptions!B30</f>
        <v>4338949582.059998</v>
      </c>
    </row>
    <row r="22" spans="1:2" x14ac:dyDescent="0.25">
      <c r="A22" t="s">
        <v>64</v>
      </c>
      <c r="B22" s="18">
        <f>B20+B21</f>
        <v>253188847197.83276</v>
      </c>
    </row>
    <row r="23" spans="1:2" x14ac:dyDescent="0.25">
      <c r="A23" s="19" t="s">
        <v>65</v>
      </c>
      <c r="B23" s="25">
        <f>B22/Assumptions!B31</f>
        <v>27.192863805599853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20.58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57.82850695969403</v>
      </c>
    </row>
    <row r="29" spans="1:2" x14ac:dyDescent="0.25">
      <c r="A29" s="19" t="s">
        <v>73</v>
      </c>
      <c r="B29" s="12">
        <f>B28/B26-1</f>
        <v>1.8099371700531601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0.051355</v>
      </c>
      <c r="B5" s="31">
        <v>71.09541261737112</v>
      </c>
      <c r="C5" s="31">
        <v>78.57559750535908</v>
      </c>
      <c r="D5" s="31">
        <v>88.85751820330353</v>
      </c>
      <c r="E5" s="31">
        <v>103.90914648125116</v>
      </c>
      <c r="F5" s="31">
        <v>128.10502307292552</v>
      </c>
    </row>
    <row r="6" spans="1:6" x14ac:dyDescent="0.25">
      <c r="A6" s="30">
        <v>0.061355</v>
      </c>
      <c r="B6" s="31">
        <v>54.98576193816268</v>
      </c>
      <c r="C6" s="31">
        <v>58.81513969411662</v>
      </c>
      <c r="D6" s="31">
        <v>63.67248610405726</v>
      </c>
      <c r="E6" s="31">
        <v>70.04957376596903</v>
      </c>
      <c r="F6" s="31">
        <v>78.81136639753606</v>
      </c>
    </row>
    <row r="7" spans="1:6" x14ac:dyDescent="0.25">
      <c r="A7" s="30">
        <v>0.071355</v>
      </c>
      <c r="B7" s="31">
        <v>44.63283237229399</v>
      </c>
      <c r="C7" s="31">
        <v>46.78953690711716</v>
      </c>
      <c r="D7" s="32">
        <v>49.39243206309152</v>
      </c>
      <c r="E7" s="31">
        <v>52.60335702090304</v>
      </c>
      <c r="F7" s="31">
        <v>56.67318365587994</v>
      </c>
    </row>
    <row r="8" spans="1:6" x14ac:dyDescent="0.25">
      <c r="A8" s="30">
        <v>0.081355</v>
      </c>
      <c r="B8" s="31">
        <v>37.43196959723212</v>
      </c>
      <c r="C8" s="31">
        <v>38.714851224066656</v>
      </c>
      <c r="D8" s="31">
        <v>40.21033383790939</v>
      </c>
      <c r="E8" s="31">
        <v>41.98051489383039</v>
      </c>
      <c r="F8" s="31">
        <v>44.11428397507145</v>
      </c>
    </row>
    <row r="9" spans="1:6" x14ac:dyDescent="0.25">
      <c r="A9" s="30">
        <v>0.091355</v>
      </c>
      <c r="B9" s="31">
        <v>32.14313041171437</v>
      </c>
      <c r="C9" s="31">
        <v>32.92844527607943</v>
      </c>
      <c r="D9" s="31">
        <v>33.81985399349215</v>
      </c>
      <c r="E9" s="31">
        <v>34.84329426741134</v>
      </c>
      <c r="F9" s="31">
        <v>36.03390891298379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302346783918.3</v>
      </c>
      <c r="C5" s="18">
        <v>286015294936.52</v>
      </c>
      <c r="D5" s="18">
        <v>274204520847.97</v>
      </c>
      <c r="E5" s="18">
        <v>243578924958.47</v>
      </c>
      <c r="F5" s="8" t="s">
        <v>84</v>
      </c>
    </row>
    <row r="6" spans="1:6" x14ac:dyDescent="0.25">
      <c r="A6" t="s">
        <v>44</v>
      </c>
      <c r="B6" s="18">
        <v>23423637894.6</v>
      </c>
      <c r="C6" s="18">
        <v>23500154038.3</v>
      </c>
      <c r="D6" s="18">
        <v>20948808203.68</v>
      </c>
      <c r="E6" s="18">
        <v>17617775621.05</v>
      </c>
      <c r="F6" s="8" t="s">
        <v>85</v>
      </c>
    </row>
    <row r="7" spans="1:6" x14ac:dyDescent="0.25">
      <c r="A7" t="s">
        <v>86</v>
      </c>
      <c r="B7" s="18">
        <v>8495753579.94</v>
      </c>
      <c r="C7" s="18">
        <v>7635211319.29</v>
      </c>
      <c r="D7" s="18">
        <v>7126854197.49</v>
      </c>
      <c r="E7" s="18">
        <v>5640043360.35</v>
      </c>
      <c r="F7" s="8" t="s">
        <v>87</v>
      </c>
    </row>
    <row r="8" spans="1:6" x14ac:dyDescent="0.25">
      <c r="A8" t="s">
        <v>88</v>
      </c>
      <c r="B8" s="18">
        <v>8851563940.89</v>
      </c>
      <c r="C8" s="18">
        <v>10080067313.04</v>
      </c>
      <c r="D8" s="18">
        <v>10541562038.81</v>
      </c>
      <c r="E8" s="18">
        <v>8209786230.64</v>
      </c>
      <c r="F8" s="8" t="s">
        <v>89</v>
      </c>
    </row>
    <row r="9" spans="1:6" x14ac:dyDescent="0.25">
      <c r="A9" t="s">
        <v>90</v>
      </c>
      <c r="B9" s="18">
        <v>5665478314.09</v>
      </c>
      <c r="C9" s="18">
        <v>3663871676.85</v>
      </c>
      <c r="D9" s="18">
        <v>914255444.05</v>
      </c>
      <c r="E9" s="18">
        <v>2191413606.23</v>
      </c>
      <c r="F9" s="8" t="s">
        <v>91</v>
      </c>
    </row>
    <row r="10" spans="1:6" x14ac:dyDescent="0.25">
      <c r="A10" t="s">
        <v>92</v>
      </c>
      <c r="B10" s="18">
        <v>45316978620.77</v>
      </c>
      <c r="C10" s="18">
        <v>44460378216.33</v>
      </c>
      <c r="D10" s="18">
        <v>36736726959.63</v>
      </c>
      <c r="E10" s="18">
        <v>32382318733.48</v>
      </c>
      <c r="F10" s="8" t="s">
        <v>93</v>
      </c>
    </row>
    <row r="11" spans="1:6" x14ac:dyDescent="0.25">
      <c r="A11" t="s">
        <v>94</v>
      </c>
      <c r="B11" s="18">
        <v>49655928202.83</v>
      </c>
      <c r="C11" s="18">
        <v>56833572462.36</v>
      </c>
      <c r="D11" s="18">
        <v>58212957750.07</v>
      </c>
      <c r="E11" s="18">
        <v>54682125036.22</v>
      </c>
      <c r="F11" s="8" t="s">
        <v>95</v>
      </c>
    </row>
    <row r="12" spans="1:6" x14ac:dyDescent="0.25">
      <c r="A12" t="s">
        <v>32</v>
      </c>
      <c r="B12" s="34">
        <v>9310856297</v>
      </c>
      <c r="C12" s="34">
        <v>9272795185</v>
      </c>
      <c r="D12" s="34">
        <v>9323941037</v>
      </c>
      <c r="E12" s="34">
        <v>9370735518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2026-09-19T01:06:42Z</dcterms:modified>
</cp:coreProperties>
</file>