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<sst xmlns="http://schemas.openxmlformats.org/spreadsheetml/2006/main" count="114" uniqueCount="102">
  <si>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Haidilao International Holding Ltd. (6862.HK)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</si>
  <si>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</si>
  <si>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</si>
  <si>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</si>
  <si>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</si>
  <si>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</si>
  <si>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</si>
  <si>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</si>
  <si>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</si>
  <si>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</si>
  <si>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</si>
  <si>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</si>
  <si>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</si>
  <si>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</si>
  <si>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</si>
  <si>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</si>
  <si>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</si>
  <si>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</si>
  <si>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</si>
  <si>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</si>
  <si>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</si>
  <si>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</si>
  <si>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</si>
  <si>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</si>
  <si>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</si>
  <si>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</si>
  <si>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</si>
  <si>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</si>
  <si>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</si>
  <si>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</si>
  <si>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</si>
  <si>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</si>
  <si>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</si>
  <si>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</si>
  <si>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</si>
  <si>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</si>
  <si>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</si>
  <si>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</si>
  <si>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</si>
  <si>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</si>
  <si>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</si>
  <si>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</si>
  <si>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</si>
  <si>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</si>
  <si>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</si>
  <si>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</si>
  <si>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</si>
  <si>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</si>
  <si>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</si>
  <si>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</si>
  <si>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</si>
  <si>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</si>
  <si>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</si>
  <si>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</si>
  <si>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</si>
  <si>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</si>
  <si>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</si>
  <si>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</si>
  <si>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</si>
  <si>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</si>
  <si>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</si>
  <si>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</si>
  <si>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</si>
  <si>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</si>
  <si>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</si>
  <si>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</si>
  <si>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</si>
  <si>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</si>
  <si>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</si>
  <si>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</si>
  <si>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</si>
  <si>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</si>
  <si>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</si>
  <si>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</si>
  <si>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</si>
  <si>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</si>
  <si>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</si>
  <si>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</si>
  <si>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</si>
  <si>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</si>
  <si>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</si>
  <si>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</si>
  <si>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</si>
  <si>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</si>
  <si>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</si>
  <si>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</si>
  <si>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</si>
  <si>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</si>
  <si>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</si>
  <si>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</si>
  <si>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</si>
  <si>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</si>
  <si>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</si>
  <si>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</si>
  <si>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</si>
  <si>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</si>
  <si>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</si>
  <si>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</si>
  <si>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</si>
  <si>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Adjusted: Reported capital expenditure averages 2.84% of revenue against depreciation of 7.52%. A business cannot depreciate more than it invests indefinitely. Capex has been set to 7.52% of revenue so the forecast is not handed free growth. Override it if the reported figure is right.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</si>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</sst>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0.11672264517542685</v>
      </c>
    </row>
    <row r="7" spans="1:2" x14ac:dyDescent="0.25">
      <c r="A7" t="s">
        <v>5</v>
      </c>
      <c r="B7" s="6">
        <v>0.1160043269610453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0.07600711043209024</v>
      </c>
    </row>
    <row r="10" spans="1:2" x14ac:dyDescent="0.25">
      <c r="A10" t="s">
        <v>8</v>
      </c>
      <c r="B10" s="6">
        <v>0.07518875642336109</v>
      </c>
    </row>
    <row r="11" spans="1:2" x14ac:dyDescent="0.25">
      <c r="A11" t="s">
        <v>9</v>
      </c>
      <c r="B11" s="6">
        <v>-0.13033396788428372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6.532470800960159</v>
      </c>
    </row>
    <row r="14" spans="1:3" x14ac:dyDescent="0.25">
      <c r="A14" t="s">
        <v>12</v>
      </c>
      <c r="B14" s="6">
        <v>0.33670698855072767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0.8124</v>
      </c>
      <c r="C19" s="8" t="s">
        <v>19</v>
      </c>
    </row>
    <row r="20" spans="1:2" x14ac:dyDescent="0.25">
      <c r="A20" t="s">
        <v>20</v>
      </c>
      <c r="B20" s="10">
        <f>B17+B19*B18</f>
        <v>0.088868</v>
      </c>
    </row>
    <row r="21" spans="1:3" x14ac:dyDescent="0.25">
      <c r="A21" t="s">
        <v>21</v>
      </c>
      <c r="B21" s="6">
        <v>0.039363566297298085</v>
      </c>
      <c r="C21" s="8" t="s">
        <v>22</v>
      </c>
    </row>
    <row r="22" spans="1:2" x14ac:dyDescent="0.25">
      <c r="A22" t="s">
        <v>23</v>
      </c>
      <c r="B22" s="11">
        <v>51474120704</v>
      </c>
    </row>
    <row r="23" spans="1:2" x14ac:dyDescent="0.25">
      <c r="A23" t="s">
        <v>24</v>
      </c>
      <c r="B23" s="11">
        <v>5934570000</v>
      </c>
    </row>
    <row r="24" spans="1:2" x14ac:dyDescent="0.25">
      <c r="A24" t="s">
        <v>25</v>
      </c>
      <c r="B24" s="10">
        <f>B22/(B22+B23)</f>
        <v>0.8966259301993365</v>
      </c>
    </row>
    <row r="25" spans="1:2" x14ac:dyDescent="0.25">
      <c r="A25" t="s">
        <v>26</v>
      </c>
      <c r="B25" s="10">
        <f>1-B24</f>
        <v>0.10337406980066355</v>
      </c>
    </row>
    <row r="26" spans="1:2" x14ac:dyDescent="0.25">
      <c r="A26" t="s">
        <v>27</v>
      </c>
      <c r="B26" s="12">
        <f>B24*B20+B25*B21*(1-B8)</f>
        <v>0.08307911182672127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43225355000</v>
      </c>
      <c r="C29" s="8" t="s">
        <v>30</v>
      </c>
    </row>
    <row r="30" spans="1:2" x14ac:dyDescent="0.25">
      <c r="A30" t="s">
        <v>31</v>
      </c>
      <c r="B30" s="11">
        <v>-3294222000</v>
      </c>
    </row>
    <row r="31" spans="1:2" x14ac:dyDescent="0.25">
      <c r="A31" t="s">
        <v>32</v>
      </c>
      <c r="B31" s="13">
        <v>5415080000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0.11672264517542685</v>
      </c>
      <c r="C5" s="10">
        <f>Assumptions!B6</f>
        <v>0.11672264517542685</v>
      </c>
      <c r="D5" s="10">
        <f>Assumptions!B6</f>
        <v>0.11672264517542685</v>
      </c>
      <c r="E5" s="10">
        <f>Assumptions!B6</f>
        <v>0.11672264517542685</v>
      </c>
      <c r="F5" s="10">
        <f>Assumptions!B6</f>
        <v>0.11672264517542685</v>
      </c>
    </row>
    <row r="6" spans="1:6" x14ac:dyDescent="0.25">
      <c r="A6" t="s">
        <v>43</v>
      </c>
      <c r="B6" s="18">
        <f>Assumptions!B29*(1+B5)</f>
        <v>48270732774.246864</v>
      </c>
      <c r="C6" s="18">
        <f>B6*(1+C5)</f>
        <v>53905020388.21313</v>
      </c>
      <c r="D6" s="18">
        <f>C6*(1+D5)</f>
        <v>60196956956.160675</v>
      </c>
      <c r="E6" s="18">
        <f>D6*(1+E5)</f>
        <v>67223305003.59506</v>
      </c>
      <c r="F6" s="18">
        <f>E6*(1+F5)</f>
        <v>75069786981.04918</v>
      </c>
    </row>
    <row r="7" spans="1:6" x14ac:dyDescent="0.25">
      <c r="A7" t="s">
        <v>5</v>
      </c>
      <c r="B7" s="10">
        <f>Assumptions!B7</f>
        <v>0.1160043269610453</v>
      </c>
      <c r="C7" s="10">
        <f>Assumptions!B7</f>
        <v>0.1160043269610453</v>
      </c>
      <c r="D7" s="10">
        <f>Assumptions!B7</f>
        <v>0.1160043269610453</v>
      </c>
      <c r="E7" s="10">
        <f>Assumptions!B7</f>
        <v>0.1160043269610453</v>
      </c>
      <c r="F7" s="10">
        <f>Assumptions!B7</f>
        <v>0.1160043269610453</v>
      </c>
    </row>
    <row r="8" spans="1:6" x14ac:dyDescent="0.25">
      <c r="A8" t="s">
        <v>44</v>
      </c>
      <c r="B8" s="18">
        <f>B6*B7</f>
        <v>5599613867.392979</v>
      </c>
      <c r="C8" s="18">
        <f>C6*C7</f>
        <v>6253215609.956089</v>
      </c>
      <c r="D8" s="18">
        <f>D6*D7</f>
        <v>6983107476.802433</v>
      </c>
      <c r="E8" s="18">
        <f>E6*E7</f>
        <v>7798194253.039114</v>
      </c>
      <c r="F8" s="18">
        <f>F6*F7</f>
        <v>8708420113.845652</v>
      </c>
    </row>
    <row r="9" spans="1:6" x14ac:dyDescent="0.25">
      <c r="A9" t="s">
        <v>45</v>
      </c>
      <c r="B9" s="18">
        <f>B8*(1-Assumptions!B8)</f>
        <v>4675677579.273137</v>
      </c>
      <c r="C9" s="18">
        <f>C8*(1-Assumptions!B8)</f>
        <v>5221435034.313334</v>
      </c>
      <c r="D9" s="18">
        <f>D8*(1-Assumptions!B8)</f>
        <v>5830894743.130032</v>
      </c>
      <c r="E9" s="18">
        <f>E8*(1-Assumptions!B8)</f>
        <v>6511492201.28766</v>
      </c>
      <c r="F9" s="18">
        <f>F8*(1-Assumptions!B8)</f>
        <v>7271530795.061119</v>
      </c>
    </row>
    <row r="10" spans="1:6" x14ac:dyDescent="0.25">
      <c r="A10" t="s">
        <v>46</v>
      </c>
      <c r="B10" s="18">
        <f>B6*Assumptions!B9</f>
        <v>3668918916.6100993</v>
      </c>
      <c r="C10" s="18">
        <f>C6*Assumptions!B9</f>
        <v>4097164837.490991</v>
      </c>
      <c r="D10" s="18">
        <f>D6*Assumptions!B9</f>
        <v>4575396755.042687</v>
      </c>
      <c r="E10" s="18">
        <f>E6*Assumptions!B9</f>
        <v>5109449167.018334</v>
      </c>
      <c r="F10" s="18">
        <f>F6*Assumptions!B9</f>
        <v>5705837589.182096</v>
      </c>
    </row>
    <row r="11" spans="1:6" x14ac:dyDescent="0.25">
      <c r="A11" t="s">
        <v>47</v>
      </c>
      <c r="B11" s="18">
        <f>-B6*Assumptions!B10</f>
        <v>-3629416368.9400005</v>
      </c>
      <c r="C11" s="18">
        <f>-C6*Assumptions!B10</f>
        <v>-4053051447.9656706</v>
      </c>
      <c r="D11" s="18">
        <f>-D6*Assumptions!B10</f>
        <v>-4526134334.004317</v>
      </c>
      <c r="E11" s="18">
        <f>-E6*Assumptions!B10</f>
        <v>-5054436705.88862</v>
      </c>
      <c r="F11" s="18">
        <f>-F6*Assumptions!B10</f>
        <v>-5644403928.071711</v>
      </c>
    </row>
    <row r="12" spans="1:6" x14ac:dyDescent="0.25">
      <c r="A12" t="s">
        <v>48</v>
      </c>
      <c r="B12" s="18">
        <f>-(B6-Assumptions!B29)*Assumptions!B11</f>
        <v>657584104.7927697</v>
      </c>
      <c r="C12" s="18">
        <f>-(C6-B6)*Assumptions!B11</f>
        <v>734339060.9294965</v>
      </c>
      <c r="D12" s="18">
        <f>-(D6-C6)*Assumptions!B11</f>
        <v>820053058.5768261</v>
      </c>
      <c r="E12" s="18">
        <f>-(E6-D6)*Assumptions!B11</f>
        <v>915771820.758113</v>
      </c>
      <c r="F12" s="18">
        <f>-(F6-E6)*Assumptions!B11</f>
        <v>1022663130.0541159</v>
      </c>
    </row>
    <row r="13" spans="1:6" x14ac:dyDescent="0.25">
      <c r="A13" s="19" t="s">
        <v>49</v>
      </c>
      <c r="B13" s="20">
        <f>B9+B10+B11+B12</f>
        <v>5372764231.736005</v>
      </c>
      <c r="C13" s="20">
        <f>C9+C10+C11+C12</f>
        <v>5999887484.768151</v>
      </c>
      <c r="D13" s="20">
        <f>D9+D10+D11+D12</f>
        <v>6700210222.745227</v>
      </c>
      <c r="E13" s="20">
        <f>E9+E10+E11+E12</f>
        <v>7482276483.175487</v>
      </c>
      <c r="F13" s="20">
        <f>F9+F10+F11+F12</f>
        <v>8355627586.225619</v>
      </c>
    </row>
    <row r="14" spans="1:6" x14ac:dyDescent="0.25">
      <c r="A14" t="s">
        <v>50</v>
      </c>
      <c r="B14" s="21">
        <f>1/(1+Assumptions!$B$26)^(1-0.5*Assumptions!$B$32)</f>
        <v>0.960881672577765</v>
      </c>
      <c r="C14" s="21">
        <f>1/(1+Assumptions!$B$26)^(2-0.5*Assumptions!$B$32)</f>
        <v>0.8871758877863889</v>
      </c>
      <c r="D14" s="21">
        <f>1/(1+Assumptions!$B$26)^(3-0.5*Assumptions!$B$32)</f>
        <v>0.8191238092387156</v>
      </c>
      <c r="E14" s="21">
        <f>1/(1+Assumptions!$B$26)^(4-0.5*Assumptions!$B$32)</f>
        <v>0.756291761418223</v>
      </c>
      <c r="F14" s="21">
        <f>1/(1+Assumptions!$B$26)^(5-0.5*Assumptions!$B$32)</f>
        <v>0.6982793345009316</v>
      </c>
    </row>
    <row r="15" spans="1:6" x14ac:dyDescent="0.25">
      <c r="A15" s="19" t="s">
        <v>51</v>
      </c>
      <c r="B15" s="20">
        <f>B13*B14</f>
        <v>5162590681.356483</v>
      </c>
      <c r="C15" s="20">
        <f>C13*C14</f>
        <v>5322955505.917628</v>
      </c>
      <c r="D15" s="20">
        <f>D13*D14</f>
        <v>5488301720.355253</v>
      </c>
      <c r="E15" s="20">
        <f>E13*E14</f>
        <v>5658784060.878936</v>
      </c>
      <c r="F15" s="20">
        <f>F13*F14</f>
        <v>5834562070.247251</v>
      </c>
    </row>
    <row r="17" spans="1:2" x14ac:dyDescent="0.25">
      <c r="A17" s="22" t="s">
        <v>52</v>
      </c>
      <c r="B17" s="23">
        <f>SUM(B15:F15)</f>
        <v>27467194038.75555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8355627586.225619</v>
      </c>
    </row>
    <row r="5" spans="1:2" x14ac:dyDescent="0.25">
      <c r="A5" t="s">
        <v>56</v>
      </c>
      <c r="B5" s="18">
        <f>IF(Assumptions!$B$33=0,B4,B4-Forecast!F11-Forecast!F10-Forecast!F12)</f>
        <v>7322827902.088289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0.07424853314630131</v>
      </c>
    </row>
    <row r="7" spans="1:2" x14ac:dyDescent="0.25">
      <c r="A7" t="s">
        <v>58</v>
      </c>
      <c r="B7" s="18">
        <f>-MAX(Forecast!F9,0)*B6</f>
        <v>-543709230.2128624</v>
      </c>
    </row>
    <row r="8" spans="1:2" x14ac:dyDescent="0.25">
      <c r="A8" t="s">
        <v>59</v>
      </c>
      <c r="B8" s="18">
        <f>IF(OR(Assumptions!$B$33=0,Assumptions!B12&lt;=0),B5,MAX(B5+B7,0))</f>
        <v>6779118671.875427</v>
      </c>
    </row>
    <row r="9" spans="1:2" x14ac:dyDescent="0.25">
      <c r="A9" t="s">
        <v>60</v>
      </c>
      <c r="B9" s="18">
        <f>B8*(1+Assumptions!B12)/(Assumptions!B26-Assumptions!B12)</f>
        <v>119640201444.59879</v>
      </c>
    </row>
    <row r="10" spans="1:2" x14ac:dyDescent="0.25">
      <c r="A10" t="s">
        <v>61</v>
      </c>
      <c r="B10" s="18">
        <f>B9/(1+Assumptions!B26)^(5-0.5*Assumptions!B32)</f>
        <v>83542280244.29184</v>
      </c>
    </row>
    <row r="11" spans="1:2" x14ac:dyDescent="0.25">
      <c r="A11" t="s">
        <v>62</v>
      </c>
      <c r="B11" s="18">
        <f>Forecast!B17+B10</f>
        <v>111009474283.0474</v>
      </c>
    </row>
    <row r="12" spans="1:2" x14ac:dyDescent="0.25">
      <c r="A12" t="s">
        <v>63</v>
      </c>
      <c r="B12" s="18">
        <f>-Assumptions!B30</f>
        <v>3294222000</v>
      </c>
    </row>
    <row r="13" spans="1:2" x14ac:dyDescent="0.25">
      <c r="A13" t="s">
        <v>64</v>
      </c>
      <c r="B13" s="18">
        <f>B11+B12</f>
        <v>114303696283.0474</v>
      </c>
    </row>
    <row r="14" spans="1:2" x14ac:dyDescent="0.25">
      <c r="A14" s="19" t="s">
        <v>65</v>
      </c>
      <c r="B14" s="24">
        <f>B13/Assumptions!B31</f>
        <v>21.108403990900854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14414257703.027748</v>
      </c>
    </row>
    <row r="18" spans="1:2" x14ac:dyDescent="0.25">
      <c r="A18" t="s">
        <v>60</v>
      </c>
      <c r="B18" s="18">
        <f>B17*Assumptions!B13</f>
        <v>94160717562.54381</v>
      </c>
    </row>
    <row r="19" spans="1:2" x14ac:dyDescent="0.25">
      <c r="A19" t="s">
        <v>61</v>
      </c>
      <c r="B19" s="18">
        <f>B18/(1+Assumptions!B26)^(5-0.5*Assumptions!B32)</f>
        <v>65750483195.70327</v>
      </c>
    </row>
    <row r="20" spans="1:2" x14ac:dyDescent="0.25">
      <c r="A20" t="s">
        <v>62</v>
      </c>
      <c r="B20" s="18">
        <f>Forecast!B17+B19</f>
        <v>93217677234.45882</v>
      </c>
    </row>
    <row r="21" spans="1:2" x14ac:dyDescent="0.25">
      <c r="A21" t="s">
        <v>63</v>
      </c>
      <c r="B21" s="18">
        <f>-Assumptions!B30</f>
        <v>3294222000</v>
      </c>
    </row>
    <row r="22" spans="1:2" x14ac:dyDescent="0.25">
      <c r="A22" t="s">
        <v>64</v>
      </c>
      <c r="B22" s="18">
        <f>B20+B21</f>
        <v>96511899234.45882</v>
      </c>
    </row>
    <row r="23" spans="1:2" x14ac:dyDescent="0.25">
      <c r="A23" s="19" t="s">
        <v>65</v>
      </c>
      <c r="B23" s="25">
        <f>B22/Assumptions!B31</f>
        <v>17.82280210716348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9.505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24.71371939254672</v>
      </c>
    </row>
    <row r="29" spans="1:2" x14ac:dyDescent="0.25">
      <c r="A29" s="19" t="s">
        <v>73</v>
      </c>
      <c r="B29" s="12">
        <f>B28/B26-1</f>
        <v>1.6000756856966563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0.063079</v>
      </c>
      <c r="B5" s="31">
        <v>26.64378643368255</v>
      </c>
      <c r="C5" s="31">
        <v>28.800702483413314</v>
      </c>
      <c r="D5" s="31">
        <v>31.52004581732573</v>
      </c>
      <c r="E5" s="31">
        <v>35.05685465491632</v>
      </c>
      <c r="F5" s="31">
        <v>39.84782483845768</v>
      </c>
    </row>
    <row r="6" spans="1:6" x14ac:dyDescent="0.25">
      <c r="A6" s="30">
        <v>0.073079</v>
      </c>
      <c r="B6" s="31">
        <v>22.24251209747495</v>
      </c>
      <c r="C6" s="31">
        <v>23.59875530578479</v>
      </c>
      <c r="D6" s="31">
        <v>25.234044073908674</v>
      </c>
      <c r="E6" s="31">
        <v>27.245541367496003</v>
      </c>
      <c r="F6" s="31">
        <v>29.781442461684048</v>
      </c>
    </row>
    <row r="7" spans="1:6" x14ac:dyDescent="0.25">
      <c r="A7" s="30">
        <v>0.083079</v>
      </c>
      <c r="B7" s="31">
        <v>19.13200597979012</v>
      </c>
      <c r="C7" s="31">
        <v>20.04300380129502</v>
      </c>
      <c r="D7" s="32">
        <v>21.108442205142065</v>
      </c>
      <c r="E7" s="31">
        <v>22.371965735032756</v>
      </c>
      <c r="F7" s="31">
        <v>23.89537428053749</v>
      </c>
    </row>
    <row r="8" spans="1:6" x14ac:dyDescent="0.25">
      <c r="A8" s="30">
        <v>0.093079</v>
      </c>
      <c r="B8" s="31">
        <v>16.81647079863828</v>
      </c>
      <c r="C8" s="31">
        <v>17.45785579024541</v>
      </c>
      <c r="D8" s="31">
        <v>18.19147638030246</v>
      </c>
      <c r="E8" s="31">
        <v>19.039265921854806</v>
      </c>
      <c r="F8" s="31">
        <v>20.03071070551401</v>
      </c>
    </row>
    <row r="9" spans="1:6" x14ac:dyDescent="0.25">
      <c r="A9" s="30">
        <v>0.103079</v>
      </c>
      <c r="B9" s="31">
        <v>15.025259059046178</v>
      </c>
      <c r="C9" s="31">
        <v>15.492982986767748</v>
      </c>
      <c r="D9" s="31">
        <v>16.018956877993702</v>
      </c>
      <c r="E9" s="31">
        <v>16.61513696437152</v>
      </c>
      <c r="F9" s="31">
        <v>17.2969919356187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43225355000</v>
      </c>
      <c r="C5" s="18">
        <v>42754687000</v>
      </c>
      <c r="D5" s="18">
        <v>41453348000</v>
      </c>
      <c r="E5" s="18">
        <v>31038634000</v>
      </c>
      <c r="F5" s="8" t="s">
        <v>84</v>
      </c>
    </row>
    <row r="6" spans="1:6" x14ac:dyDescent="0.25">
      <c r="A6" t="s">
        <v>44</v>
      </c>
      <c r="B6" s="18">
        <v>5193387000</v>
      </c>
      <c r="C6" s="18">
        <v>6051608000</v>
      </c>
      <c r="D6" s="18">
        <v>5557123000</v>
      </c>
      <c r="E6" s="18">
        <v>2119029000</v>
      </c>
      <c r="F6" s="8" t="s">
        <v>85</v>
      </c>
    </row>
    <row r="7" spans="1:6" x14ac:dyDescent="0.25">
      <c r="A7" t="s">
        <v>86</v>
      </c>
      <c r="B7" s="18">
        <v>2182061000</v>
      </c>
      <c r="C7" s="18">
        <v>2558496000</v>
      </c>
      <c r="D7" s="18">
        <v>2945399000</v>
      </c>
      <c r="E7" s="18">
        <v>3806974000</v>
      </c>
      <c r="F7" s="8" t="s">
        <v>87</v>
      </c>
    </row>
    <row r="8" spans="1:6" x14ac:dyDescent="0.25">
      <c r="A8" t="s">
        <v>88</v>
      </c>
      <c r="B8" s="18">
        <v>1748375000</v>
      </c>
      <c r="C8" s="18">
        <v>1309179000</v>
      </c>
      <c r="D8" s="18">
        <v>630732000</v>
      </c>
      <c r="E8" s="18">
        <v>847461000</v>
      </c>
      <c r="F8" s="8" t="s">
        <v>89</v>
      </c>
    </row>
    <row r="9" spans="1:6" x14ac:dyDescent="0.25">
      <c r="A9" t="s">
        <v>90</v>
      </c>
      <c r="B9" s="18">
        <v>115777000</v>
      </c>
      <c r="C9" s="18">
        <v>-692286000</v>
      </c>
      <c r="D9" s="18">
        <v>-1357391000</v>
      </c>
      <c r="E9" s="18">
        <v>-515016000</v>
      </c>
      <c r="F9" s="8" t="s">
        <v>91</v>
      </c>
    </row>
    <row r="10" spans="1:6" x14ac:dyDescent="0.25">
      <c r="A10" t="s">
        <v>92</v>
      </c>
      <c r="B10" s="18">
        <v>5934570000</v>
      </c>
      <c r="C10" s="18">
        <v>6168246000</v>
      </c>
      <c r="D10" s="18">
        <v>7304082000</v>
      </c>
      <c r="E10" s="18">
        <v>9877860000</v>
      </c>
      <c r="F10" s="8" t="s">
        <v>93</v>
      </c>
    </row>
    <row r="11" spans="1:6" x14ac:dyDescent="0.25">
      <c r="A11" t="s">
        <v>94</v>
      </c>
      <c r="B11" s="18">
        <v>9228792000</v>
      </c>
      <c r="C11" s="18">
        <v>9579793000</v>
      </c>
      <c r="D11" s="18">
        <v>11363842000</v>
      </c>
      <c r="E11" s="18">
        <v>7039971000</v>
      </c>
      <c r="F11" s="8" t="s">
        <v>95</v>
      </c>
    </row>
    <row r="12" spans="1:6" x14ac:dyDescent="0.25">
      <c r="A12" t="s">
        <v>32</v>
      </c>
      <c r="B12" s="34">
        <v>5415080000</v>
      </c>
      <c r="C12" s="34">
        <v>5415000000</v>
      </c>
      <c r="D12" s="34">
        <v>5415000000</v>
      </c>
      <c r="E12" s="34">
        <v>5415000000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2026-09-19T00:10:00Z</dcterms:modified>
</cp:coreProperties>
</file>