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<sst xmlns="http://schemas.openxmlformats.org/spreadsheetml/2006/main" count="114" uniqueCount="102">
  <si>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Nongfu Spring Co., Ltd. (9633.HK)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</si>
  <si>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</si>
  <si>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</si>
  <si>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</si>
  <si>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</si>
  <si>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</si>
  <si>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</si>
  <si>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</si>
  <si>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</si>
  <si>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</si>
  <si>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</si>
  <si>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</si>
  <si>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</si>
  <si>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</si>
  <si>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</si>
  <si>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</si>
  <si>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</si>
  <si>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</si>
  <si>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</si>
  <si>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</si>
  <si>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</si>
  <si>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</si>
  <si>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</si>
  <si>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</si>
  <si>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</si>
  <si>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</si>
  <si>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</si>
  <si>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</si>
  <si>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</si>
  <si>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</si>
  <si>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</si>
  <si>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</si>
  <si>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</si>
  <si>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</si>
  <si>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</si>
  <si>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</si>
  <si>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</si>
  <si>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</si>
  <si>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</si>
  <si>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</si>
  <si>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</si>
  <si>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</si>
  <si>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</si>
  <si>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</si>
  <si>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</si>
  <si>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</si>
  <si>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</si>
  <si>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</si>
  <si>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</si>
  <si>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</si>
  <si>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</si>
  <si>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</si>
  <si>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</si>
  <si>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</si>
  <si>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</si>
  <si>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</si>
  <si>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</si>
  <si>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</si>
  <si>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</si>
  <si>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</si>
  <si>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</si>
  <si>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</si>
  <si>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</si>
  <si>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</si>
  <si>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</si>
  <si>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</si>
  <si>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</si>
  <si>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</si>
  <si>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</si>
  <si>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</si>
  <si>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</si>
  <si>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</si>
  <si>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</si>
  <si>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</si>
  <si>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</si>
  <si>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</si>
  <si>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</si>
  <si>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</si>
  <si>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</si>
  <si>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</si>
  <si>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</si>
  <si>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</si>
  <si>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</si>
  <si>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</si>
  <si>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</si>
  <si>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</si>
  <si>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</si>
  <si>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</si>
  <si>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</si>
  <si>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</si>
  <si>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</si>
  <si>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</si>
  <si>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</si>
  <si>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</si>
  <si>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</si>
  <si>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</si>
  <si>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</si>
  <si>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</si>
  <si>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</si>
  <si>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13.1% of revenue against depreciation of 6.7%.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</si>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</sst>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0.16497192359171198</v>
      </c>
    </row>
    <row r="7" spans="1:2" x14ac:dyDescent="0.25">
      <c r="A7" t="s">
        <v>5</v>
      </c>
      <c r="B7" s="6">
        <v>0.34264838597677755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0.06701584758228615</v>
      </c>
    </row>
    <row r="10" spans="1:2" x14ac:dyDescent="0.25">
      <c r="A10" t="s">
        <v>8</v>
      </c>
      <c r="B10" s="6">
        <v>0.1312086680281578</v>
      </c>
    </row>
    <row r="11" spans="1:2" x14ac:dyDescent="0.25">
      <c r="A11" t="s">
        <v>9</v>
      </c>
      <c r="B11" s="6">
        <v>-0.17762778973581425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17.71673572613116</v>
      </c>
    </row>
    <row r="14" spans="1:3" x14ac:dyDescent="0.25">
      <c r="A14" t="s">
        <v>12</v>
      </c>
      <c r="B14" s="6">
        <v>0.36301474948502055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0.48208999999999996</v>
      </c>
      <c r="C19" s="8" t="s">
        <v>19</v>
      </c>
    </row>
    <row r="20" spans="1:2" x14ac:dyDescent="0.25">
      <c r="A20" t="s">
        <v>20</v>
      </c>
      <c r="B20" s="10">
        <f>B17+B19*B18</f>
        <v>0.06574630000000001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434113576960</v>
      </c>
    </row>
    <row r="23" spans="1:2" x14ac:dyDescent="0.25">
      <c r="A23" t="s">
        <v>24</v>
      </c>
      <c r="B23" s="11">
        <v>4492699000</v>
      </c>
    </row>
    <row r="24" spans="1:2" x14ac:dyDescent="0.25">
      <c r="A24" t="s">
        <v>25</v>
      </c>
      <c r="B24" s="10">
        <f>B22/(B22+B23)</f>
        <v>0.9897568747958141</v>
      </c>
    </row>
    <row r="25" spans="1:2" x14ac:dyDescent="0.25">
      <c r="A25" t="s">
        <v>26</v>
      </c>
      <c r="B25" s="10">
        <f>1-B24</f>
        <v>0.01024312520418591</v>
      </c>
    </row>
    <row r="26" spans="1:2" x14ac:dyDescent="0.25">
      <c r="A26" t="s">
        <v>27</v>
      </c>
      <c r="B26" s="12">
        <f>B24*B20+B25*B21*(1-B8)</f>
        <v>0.06534654872284389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52552910000</v>
      </c>
      <c r="C29" s="8" t="s">
        <v>30</v>
      </c>
    </row>
    <row r="30" spans="1:2" x14ac:dyDescent="0.25">
      <c r="A30" t="s">
        <v>31</v>
      </c>
      <c r="B30" s="11">
        <v>-14239590000</v>
      </c>
    </row>
    <row r="31" spans="1:2" x14ac:dyDescent="0.25">
      <c r="A31" t="s">
        <v>32</v>
      </c>
      <c r="B31" s="13">
        <v>11248441000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0.16497192359171198</v>
      </c>
      <c r="C5" s="10">
        <f>Assumptions!B6</f>
        <v>0.16497192359171198</v>
      </c>
      <c r="D5" s="10">
        <f>Assumptions!B6</f>
        <v>0.16497192359171198</v>
      </c>
      <c r="E5" s="10">
        <f>Assumptions!B6</f>
        <v>0.16497192359171198</v>
      </c>
      <c r="F5" s="10">
        <f>Assumptions!B6</f>
        <v>0.16497192359171198</v>
      </c>
    </row>
    <row r="6" spans="1:6" x14ac:dyDescent="0.25">
      <c r="A6" t="s">
        <v>43</v>
      </c>
      <c r="B6" s="18">
        <f>Assumptions!B29*(1+B5)</f>
        <v>61222664653.042114</v>
      </c>
      <c r="C6" s="18">
        <f>B6*(1+C5)</f>
        <v>71322685408.26479</v>
      </c>
      <c r="D6" s="18">
        <f>C6*(1+D5)</f>
        <v>83088926015.79276</v>
      </c>
      <c r="E6" s="18">
        <f>D6*(1+E5)</f>
        <v>96796265969.78752</v>
      </c>
      <c r="F6" s="18">
        <f>E6*(1+F5)</f>
        <v>112764932163.31834</v>
      </c>
    </row>
    <row r="7" spans="1:6" x14ac:dyDescent="0.25">
      <c r="A7" t="s">
        <v>5</v>
      </c>
      <c r="B7" s="10">
        <f>Assumptions!B7</f>
        <v>0.34264838597677755</v>
      </c>
      <c r="C7" s="10">
        <f>Assumptions!B7</f>
        <v>0.34264838597677755</v>
      </c>
      <c r="D7" s="10">
        <f>Assumptions!B7</f>
        <v>0.34264838597677755</v>
      </c>
      <c r="E7" s="10">
        <f>Assumptions!B7</f>
        <v>0.34264838597677755</v>
      </c>
      <c r="F7" s="10">
        <f>Assumptions!B7</f>
        <v>0.34264838597677755</v>
      </c>
    </row>
    <row r="8" spans="1:6" x14ac:dyDescent="0.25">
      <c r="A8" t="s">
        <v>44</v>
      </c>
      <c r="B8" s="18">
        <f>B6*B7</f>
        <v>20977847228.56239</v>
      </c>
      <c r="C8" s="18">
        <f>C6*C7</f>
        <v>24438603038.67139</v>
      </c>
      <c r="D8" s="18">
        <f>D6*D7</f>
        <v>28470286391.85527</v>
      </c>
      <c r="E8" s="18">
        <f>E6*E7</f>
        <v>33167084303.12657</v>
      </c>
      <c r="F8" s="18">
        <f>F6*F7</f>
        <v>38638722000.54184</v>
      </c>
    </row>
    <row r="9" spans="1:6" x14ac:dyDescent="0.25">
      <c r="A9" t="s">
        <v>45</v>
      </c>
      <c r="B9" s="18">
        <f>B8*(1-Assumptions!B8)</f>
        <v>17516502435.849594</v>
      </c>
      <c r="C9" s="18">
        <f>C8*(1-Assumptions!B8)</f>
        <v>20406233537.29061</v>
      </c>
      <c r="D9" s="18">
        <f>D8*(1-Assumptions!B8)</f>
        <v>23772689137.19915</v>
      </c>
      <c r="E9" s="18">
        <f>E8*(1-Assumptions!B8)</f>
        <v>27694515393.110687</v>
      </c>
      <c r="F9" s="18">
        <f>F8*(1-Assumptions!B8)</f>
        <v>32263332870.452435</v>
      </c>
    </row>
    <row r="10" spans="1:6" x14ac:dyDescent="0.25">
      <c r="A10" t="s">
        <v>46</v>
      </c>
      <c r="B10" s="18">
        <f>B6*Assumptions!B9</f>
        <v>4102888762.9696884</v>
      </c>
      <c r="C10" s="18">
        <f>C6*Assumptions!B9</f>
        <v>4779750214.479617</v>
      </c>
      <c r="D10" s="18">
        <f>D6*Assumptions!B9</f>
        <v>5568274801.650218</v>
      </c>
      <c r="E10" s="18">
        <f>E6*Assumptions!B9</f>
        <v>6486883806.765713</v>
      </c>
      <c r="F10" s="18">
        <f>F6*Assumptions!B9</f>
        <v>7557037506.48378</v>
      </c>
    </row>
    <row r="11" spans="1:6" x14ac:dyDescent="0.25">
      <c r="A11" t="s">
        <v>47</v>
      </c>
      <c r="B11" s="18">
        <f>-B6*Assumptions!B10</f>
        <v>-8032944282.260234</v>
      </c>
      <c r="C11" s="18">
        <f>-C6*Assumptions!B10</f>
        <v>-9358154552.609749</v>
      </c>
      <c r="D11" s="18">
        <f>-D6*Assumptions!B10</f>
        <v>-10901987310.422316</v>
      </c>
      <c r="E11" s="18">
        <f>-E6*Assumptions!B10</f>
        <v>-12700509127.99512</v>
      </c>
      <c r="F11" s="18">
        <f>-F6*Assumptions!B10</f>
        <v>-14795736549.434572</v>
      </c>
    </row>
    <row r="12" spans="1:6" x14ac:dyDescent="0.25">
      <c r="A12" t="s">
        <v>48</v>
      </c>
      <c r="B12" s="18">
        <f>-(B6-Assumptions!B29)*Assumptions!B11</f>
        <v>1539989356.571662</v>
      </c>
      <c r="C12" s="18">
        <f>-(C6-B6)*Assumptions!B11</f>
        <v>1794044363.0360525</v>
      </c>
      <c r="D12" s="18">
        <f>-(D6-C6)*Assumptions!B11</f>
        <v>2090011312.6149774</v>
      </c>
      <c r="E12" s="18">
        <f>-(E6-D6)*Assumptions!B11</f>
        <v>2434804499.1855083</v>
      </c>
      <c r="F12" s="18">
        <f>-(F6-E6)*Assumptions!B11</f>
        <v>2836478880.9858985</v>
      </c>
    </row>
    <row r="13" spans="1:6" x14ac:dyDescent="0.25">
      <c r="A13" s="19" t="s">
        <v>49</v>
      </c>
      <c r="B13" s="20">
        <f>B9+B10+B11+B12</f>
        <v>15126436273.13071</v>
      </c>
      <c r="C13" s="20">
        <f>C9+C10+C11+C12</f>
        <v>17621873562.196533</v>
      </c>
      <c r="D13" s="20">
        <f>D9+D10+D11+D12</f>
        <v>20528987941.042034</v>
      </c>
      <c r="E13" s="20">
        <f>E9+E10+E11+E12</f>
        <v>23915694571.066788</v>
      </c>
      <c r="F13" s="20">
        <f>F9+F10+F11+F12</f>
        <v>27861112708.487545</v>
      </c>
    </row>
    <row r="14" spans="1:6" x14ac:dyDescent="0.25">
      <c r="A14" t="s">
        <v>50</v>
      </c>
      <c r="B14" s="21">
        <f>1/(1+Assumptions!$B$26)^(1-0.5*Assumptions!$B$32)</f>
        <v>0.9688455489090328</v>
      </c>
      <c r="C14" s="21">
        <f>1/(1+Assumptions!$B$26)^(2-0.5*Assumptions!$B$32)</f>
        <v>0.9094182076907291</v>
      </c>
      <c r="D14" s="21">
        <f>1/(1+Assumptions!$B$26)^(3-0.5*Assumptions!$B$32)</f>
        <v>0.8536360386964744</v>
      </c>
      <c r="E14" s="21">
        <f>1/(1+Assumptions!$B$26)^(4-0.5*Assumptions!$B$32)</f>
        <v>0.8012754532502389</v>
      </c>
      <c r="F14" s="21">
        <f>1/(1+Assumptions!$B$26)^(5-0.5*Assumptions!$B$32)</f>
        <v>0.7521265772258069</v>
      </c>
    </row>
    <row r="15" spans="1:6" x14ac:dyDescent="0.25">
      <c r="A15" s="19" t="s">
        <v>51</v>
      </c>
      <c r="B15" s="20">
        <f>B13*B14</f>
        <v>14655180454.078829</v>
      </c>
      <c r="C15" s="20">
        <f>C13*C14</f>
        <v>16025652671.085415</v>
      </c>
      <c r="D15" s="20">
        <f>D13*D14</f>
        <v>17524283944.438816</v>
      </c>
      <c r="E15" s="20">
        <f>E13*E14</f>
        <v>19163059007.22582</v>
      </c>
      <c r="F15" s="20">
        <f>F13*F14</f>
        <v>20955083339.13717</v>
      </c>
    </row>
    <row r="17" spans="1:2" x14ac:dyDescent="0.25">
      <c r="A17" s="22" t="s">
        <v>52</v>
      </c>
      <c r="B17" s="23">
        <f>SUM(B15:F15)</f>
        <v>88323259415.96603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27861112708.487545</v>
      </c>
    </row>
    <row r="5" spans="1:2" x14ac:dyDescent="0.25">
      <c r="A5" t="s">
        <v>56</v>
      </c>
      <c r="B5" s="18">
        <f>IF(Assumptions!$B$33=0,B4,B4-Forecast!F11-Forecast!F10-Forecast!F12)</f>
        <v>32290549877.06111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0.06886772516947443</v>
      </c>
    </row>
    <row r="7" spans="1:2" x14ac:dyDescent="0.25">
      <c r="A7" t="s">
        <v>58</v>
      </c>
      <c r="B7" s="18">
        <f>-MAX(Forecast!F9,0)*B6</f>
        <v>-2223776714.5046506</v>
      </c>
    </row>
    <row r="8" spans="1:2" x14ac:dyDescent="0.25">
      <c r="A8" t="s">
        <v>59</v>
      </c>
      <c r="B8" s="18">
        <f>IF(OR(Assumptions!$B$33=0,Assumptions!B12&lt;=0),B5,MAX(B5+B7,0))</f>
        <v>30066773162.55646</v>
      </c>
    </row>
    <row r="9" spans="1:2" x14ac:dyDescent="0.25">
      <c r="A9" t="s">
        <v>60</v>
      </c>
      <c r="B9" s="18">
        <f>B8*(1+Assumptions!B12)/(Assumptions!B26-Assumptions!B12)</f>
        <v>763843338951.3492</v>
      </c>
    </row>
    <row r="10" spans="1:2" x14ac:dyDescent="0.25">
      <c r="A10" t="s">
        <v>61</v>
      </c>
      <c r="B10" s="18">
        <f>B9/(1+Assumptions!B26)^(5-0.5*Assumptions!B32)</f>
        <v>574506876062.2102</v>
      </c>
    </row>
    <row r="11" spans="1:2" x14ac:dyDescent="0.25">
      <c r="A11" t="s">
        <v>62</v>
      </c>
      <c r="B11" s="18">
        <f>Forecast!B17+B10</f>
        <v>662830135478.1763</v>
      </c>
    </row>
    <row r="12" spans="1:2" x14ac:dyDescent="0.25">
      <c r="A12" t="s">
        <v>63</v>
      </c>
      <c r="B12" s="18">
        <f>-Assumptions!B30</f>
        <v>14239590000</v>
      </c>
    </row>
    <row r="13" spans="1:2" x14ac:dyDescent="0.25">
      <c r="A13" t="s">
        <v>64</v>
      </c>
      <c r="B13" s="18">
        <f>B11+B12</f>
        <v>677069725478.1763</v>
      </c>
    </row>
    <row r="14" spans="1:2" x14ac:dyDescent="0.25">
      <c r="A14" s="19" t="s">
        <v>65</v>
      </c>
      <c r="B14" s="24">
        <f>B13/Assumptions!B31</f>
        <v>60.19231691557757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46195759507.02562</v>
      </c>
    </row>
    <row r="18" spans="1:2" x14ac:dyDescent="0.25">
      <c r="A18" t="s">
        <v>60</v>
      </c>
      <c r="B18" s="18">
        <f>B17*Assumptions!B13</f>
        <v>818438062853.8839</v>
      </c>
    </row>
    <row r="19" spans="1:2" x14ac:dyDescent="0.25">
      <c r="A19" t="s">
        <v>61</v>
      </c>
      <c r="B19" s="18">
        <f>B18/(1+Assumptions!B26)^(5-0.5*Assumptions!B32)</f>
        <v>615569018885.6116</v>
      </c>
    </row>
    <row r="20" spans="1:2" x14ac:dyDescent="0.25">
      <c r="A20" t="s">
        <v>62</v>
      </c>
      <c r="B20" s="18">
        <f>Forecast!B17+B19</f>
        <v>703892278301.5776</v>
      </c>
    </row>
    <row r="21" spans="1:2" x14ac:dyDescent="0.25">
      <c r="A21" t="s">
        <v>63</v>
      </c>
      <c r="B21" s="18">
        <f>-Assumptions!B30</f>
        <v>14239590000</v>
      </c>
    </row>
    <row r="22" spans="1:2" x14ac:dyDescent="0.25">
      <c r="A22" t="s">
        <v>64</v>
      </c>
      <c r="B22" s="18">
        <f>B20+B21</f>
        <v>718131868301.5776</v>
      </c>
    </row>
    <row r="23" spans="1:2" x14ac:dyDescent="0.25">
      <c r="A23" s="19" t="s">
        <v>65</v>
      </c>
      <c r="B23" s="25">
        <f>B22/Assumptions!B31</f>
        <v>63.84279104113874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38.6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70.47316464475823</v>
      </c>
    </row>
    <row r="29" spans="1:2" x14ac:dyDescent="0.25">
      <c r="A29" s="19" t="s">
        <v>73</v>
      </c>
      <c r="B29" s="12">
        <f>B28/B26-1</f>
        <v>0.8257296540092804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0.045347</v>
      </c>
      <c r="B5" s="31">
        <v>84.92333304182071</v>
      </c>
      <c r="C5" s="31">
        <v>98.93703223556413</v>
      </c>
      <c r="D5" s="31">
        <v>119.82216861412823</v>
      </c>
      <c r="E5" s="31">
        <v>154.29481422887895</v>
      </c>
      <c r="F5" s="31">
        <v>222.05272094439508</v>
      </c>
    </row>
    <row r="6" spans="1:6" x14ac:dyDescent="0.25">
      <c r="A6" s="30">
        <v>0.055347</v>
      </c>
      <c r="B6" s="31">
        <v>63.64861234307438</v>
      </c>
      <c r="C6" s="31">
        <v>70.74384885828661</v>
      </c>
      <c r="D6" s="31">
        <v>80.16689661671217</v>
      </c>
      <c r="E6" s="31">
        <v>93.29532174642145</v>
      </c>
      <c r="F6" s="31">
        <v>112.86076333766148</v>
      </c>
    </row>
    <row r="7" spans="1:6" x14ac:dyDescent="0.25">
      <c r="A7" s="30">
        <v>0.065347</v>
      </c>
      <c r="B7" s="31">
        <v>50.84705423262323</v>
      </c>
      <c r="C7" s="31">
        <v>55.00745472522169</v>
      </c>
      <c r="D7" s="32">
        <v>60.19163939019821</v>
      </c>
      <c r="E7" s="31">
        <v>66.83406553894194</v>
      </c>
      <c r="F7" s="31">
        <v>75.65551684880178</v>
      </c>
    </row>
    <row r="8" spans="1:6" x14ac:dyDescent="0.25">
      <c r="A8" s="30">
        <v>0.075347</v>
      </c>
      <c r="B8" s="31">
        <v>42.30547849007967</v>
      </c>
      <c r="C8" s="31">
        <v>44.974881000159584</v>
      </c>
      <c r="D8" s="31">
        <v>48.168820898244206</v>
      </c>
      <c r="E8" s="31">
        <v>52.06080604196628</v>
      </c>
      <c r="F8" s="31">
        <v>56.91035210001395</v>
      </c>
    </row>
    <row r="9" spans="1:6" x14ac:dyDescent="0.25">
      <c r="A9" s="30">
        <v>0.085347</v>
      </c>
      <c r="B9" s="31">
        <v>36.206411713237614</v>
      </c>
      <c r="C9" s="31">
        <v>38.02681461445355</v>
      </c>
      <c r="D9" s="31">
        <v>40.14434116679548</v>
      </c>
      <c r="E9" s="31">
        <v>42.63951704946716</v>
      </c>
      <c r="F9" s="31">
        <v>45.62485621473875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52552910000</v>
      </c>
      <c r="C5" s="18">
        <v>42895992000</v>
      </c>
      <c r="D5" s="18">
        <v>42667221000</v>
      </c>
      <c r="E5" s="18">
        <v>33239187000</v>
      </c>
      <c r="F5" s="8" t="s">
        <v>84</v>
      </c>
    </row>
    <row r="6" spans="1:6" x14ac:dyDescent="0.25">
      <c r="A6" t="s">
        <v>44</v>
      </c>
      <c r="B6" s="18">
        <v>20306728000</v>
      </c>
      <c r="C6" s="18">
        <v>14691961000</v>
      </c>
      <c r="D6" s="18">
        <v>14590560000</v>
      </c>
      <c r="E6" s="18">
        <v>9962595000</v>
      </c>
      <c r="F6" s="8" t="s">
        <v>85</v>
      </c>
    </row>
    <row r="7" spans="1:6" x14ac:dyDescent="0.25">
      <c r="A7" t="s">
        <v>86</v>
      </c>
      <c r="B7" s="18">
        <v>3392558000</v>
      </c>
      <c r="C7" s="18">
        <v>2874701000</v>
      </c>
      <c r="D7" s="18">
        <v>2631442000</v>
      </c>
      <c r="E7" s="18">
        <v>2486925000</v>
      </c>
      <c r="F7" s="8" t="s">
        <v>87</v>
      </c>
    </row>
    <row r="8" spans="1:6" x14ac:dyDescent="0.25">
      <c r="A8" t="s">
        <v>88</v>
      </c>
      <c r="B8" s="18">
        <v>6796099000</v>
      </c>
      <c r="C8" s="18">
        <v>6460789000</v>
      </c>
      <c r="D8" s="18">
        <v>4862750000</v>
      </c>
      <c r="E8" s="18">
        <v>4352042000</v>
      </c>
      <c r="F8" s="8" t="s">
        <v>89</v>
      </c>
    </row>
    <row r="9" spans="1:6" x14ac:dyDescent="0.25">
      <c r="A9" t="s">
        <v>90</v>
      </c>
      <c r="B9" s="18">
        <v>-1715337000</v>
      </c>
      <c r="C9" s="18">
        <v>2935491000</v>
      </c>
      <c r="D9" s="18">
        <v>-3198530000</v>
      </c>
      <c r="E9" s="18">
        <v>-1409081000</v>
      </c>
      <c r="F9" s="8" t="s">
        <v>91</v>
      </c>
    </row>
    <row r="10" spans="1:6" x14ac:dyDescent="0.25">
      <c r="A10" t="s">
        <v>92</v>
      </c>
      <c r="B10" s="18">
        <v>4492699000</v>
      </c>
      <c r="C10" s="18">
        <v>3747047000</v>
      </c>
      <c r="D10" s="18">
        <v>3209899000</v>
      </c>
      <c r="E10" s="18">
        <v>2524950000</v>
      </c>
      <c r="F10" s="8" t="s">
        <v>93</v>
      </c>
    </row>
    <row r="11" spans="1:6" x14ac:dyDescent="0.25">
      <c r="A11" t="s">
        <v>94</v>
      </c>
      <c r="B11" s="18">
        <v>18732289000</v>
      </c>
      <c r="C11" s="18">
        <v>12251486000</v>
      </c>
      <c r="D11" s="18">
        <v>24125210000</v>
      </c>
      <c r="E11" s="18">
        <v>15211156000</v>
      </c>
      <c r="F11" s="8" t="s">
        <v>95</v>
      </c>
    </row>
    <row r="12" spans="1:6" x14ac:dyDescent="0.25">
      <c r="A12" t="s">
        <v>32</v>
      </c>
      <c r="B12" s="34">
        <v>11248441000</v>
      </c>
      <c r="C12" s="34">
        <v>11245815054</v>
      </c>
      <c r="D12" s="34">
        <v>11243908441</v>
      </c>
      <c r="E12" s="34">
        <v>11243556102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2026-09-19T00:09:37Z</dcterms:modified>
</cp:coreProperties>
</file>