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<sst xmlns="http://schemas.openxmlformats.org/spreadsheetml/2006/main" count="117" uniqueCount="104">
  <si>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Trip.com Group Limited (9961.HK)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</si>
  <si>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</si>
  <si>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</si>
  <si>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</si>
  <si>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</si>
  <si>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</si>
  <si>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</si>
  <si>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</si>
  <si>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</si>
  <si>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</si>
  <si>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</si>
  <si>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</si>
  <si>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</si>
  <si>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</si>
  <si>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</si>
  <si>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</si>
  <si>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</si>
  <si>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</si>
  <si>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</si>
  <si>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Clamped from a reported -0.053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</si>
  <si>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</si>
  <si>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</si>
  <si>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</si>
  <si>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</si>
  <si>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</si>
  <si>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</si>
  <si>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</si>
  <si>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</si>
  <si>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</si>
  <si>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</si>
  <si>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</si>
  <si>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</si>
  <si>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</si>
  <si>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</si>
  <si>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</si>
  <si>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</si>
  <si>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</si>
  <si>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</si>
  <si>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</si>
  <si>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</si>
  <si>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</si>
  <si>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</si>
  <si>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</si>
  <si>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</si>
  <si>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</si>
  <si>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</si>
  <si>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</si>
  <si>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</si>
  <si>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</si>
  <si>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</si>
  <si>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</si>
  <si>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</si>
  <si>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</si>
  <si>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</si>
  <si>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</si>
  <si>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</si>
  <si>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</si>
  <si>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</si>
  <si>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</si>
  <si>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</si>
  <si>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</si>
  <si>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</si>
  <si>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</si>
  <si>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</si>
  <si>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</si>
  <si>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</si>
  <si>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</si>
  <si>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</si>
  <si>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</si>
  <si>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</si>
  <si>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</si>
  <si>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</si>
  <si>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</si>
  <si>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</si>
  <si>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</si>
  <si>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</si>
  <si>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</si>
  <si>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</si>
  <si>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</si>
  <si>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</si>
  <si>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</si>
  <si>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</si>
  <si>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</si>
  <si>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</si>
  <si>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</si>
  <si>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</si>
  <si>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</si>
  <si>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</si>
  <si>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</si>
  <si>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</si>
  <si>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</si>
  <si>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</si>
  <si>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</si>
  <si>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</si>
  <si>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</si>
  <si>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</si>
  <si>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</si>
  <si>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</si>
  <si>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</si>
  <si>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10.1x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</si>
  <si>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CNY, trades in HKD. Modelled in CNY, converted at the end.</t>
  </si>
  <si>
    <t>Adjusted: Beta of -0.053 is not usable in a cost of equity. Clamped to 0.30.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</si>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</sst>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0.4603503514179359</v>
      </c>
    </row>
    <row r="7" spans="1:2" x14ac:dyDescent="0.25">
      <c r="A7" t="s">
        <v>5</v>
      </c>
      <c r="B7" s="6">
        <v>0.21457780870205018</v>
      </c>
    </row>
    <row r="8" spans="1:2" x14ac:dyDescent="0.25">
      <c r="A8" t="s">
        <v>6</v>
      </c>
      <c r="B8" s="6">
        <v>0.15850356105917418</v>
      </c>
    </row>
    <row r="9" spans="1:2" x14ac:dyDescent="0.25">
      <c r="A9" t="s">
        <v>7</v>
      </c>
      <c r="B9" s="6">
        <v>0.03159415649811757</v>
      </c>
    </row>
    <row r="10" spans="1:2" x14ac:dyDescent="0.25">
      <c r="A10" t="s">
        <v>8</v>
      </c>
      <c r="B10" s="6">
        <v>0.015581619983065322</v>
      </c>
    </row>
    <row r="11" spans="1:2" x14ac:dyDescent="0.25">
      <c r="A11" t="s">
        <v>9</v>
      </c>
      <c r="B11" s="6">
        <v>-0.3780737704918033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8.835566900763359</v>
      </c>
    </row>
    <row r="14" spans="1:3" x14ac:dyDescent="0.25">
      <c r="A14" t="s">
        <v>12</v>
      </c>
      <c r="B14" s="6">
        <v>0.06460850325915644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0.053000000000000005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201127837696</v>
      </c>
    </row>
    <row r="23" spans="1:2" x14ac:dyDescent="0.25">
      <c r="A23" t="s">
        <v>24</v>
      </c>
      <c r="B23" s="11">
        <v>31614000000</v>
      </c>
    </row>
    <row r="24" spans="1:2" x14ac:dyDescent="0.25">
      <c r="A24" t="s">
        <v>25</v>
      </c>
      <c r="B24" s="10">
        <f>B22/(B22+B23)</f>
        <v>0.8641670946961706</v>
      </c>
    </row>
    <row r="25" spans="1:2" x14ac:dyDescent="0.25">
      <c r="A25" t="s">
        <v>26</v>
      </c>
      <c r="B25" s="10">
        <f>1-B24</f>
        <v>0.1358329053038294</v>
      </c>
    </row>
    <row r="26" spans="1:2" x14ac:dyDescent="0.25">
      <c r="A26" t="s">
        <v>27</v>
      </c>
      <c r="B26" s="12">
        <f>B24*B20+B25*B21*(1-B8)</f>
        <v>0.04945854901423013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62409000000</v>
      </c>
      <c r="C29" s="8" t="s">
        <v>30</v>
      </c>
    </row>
    <row r="30" spans="1:2" x14ac:dyDescent="0.25">
      <c r="A30" t="s">
        <v>31</v>
      </c>
      <c r="B30" s="11">
        <v>-40241000000</v>
      </c>
    </row>
    <row r="31" spans="1:2" x14ac:dyDescent="0.25">
      <c r="A31" t="s">
        <v>32</v>
      </c>
      <c r="B31" s="13">
        <v>698378891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0.4603503514179359</v>
      </c>
      <c r="C5" s="10">
        <f>Assumptions!B6</f>
        <v>0.4603503514179359</v>
      </c>
      <c r="D5" s="10">
        <f>Assumptions!B6</f>
        <v>0.4603503514179359</v>
      </c>
      <c r="E5" s="10">
        <f>Assumptions!B6</f>
        <v>0.4603503514179359</v>
      </c>
      <c r="F5" s="10">
        <f>Assumptions!B6</f>
        <v>0.4603503514179359</v>
      </c>
    </row>
    <row r="6" spans="1:6" x14ac:dyDescent="0.25">
      <c r="A6" t="s">
        <v>43</v>
      </c>
      <c r="B6" s="18">
        <f>Assumptions!B29*(1+B5)</f>
        <v>91139005081.64197</v>
      </c>
      <c r="C6" s="18">
        <f>B6*(1+C5)</f>
        <v>133094878098.85689</v>
      </c>
      <c r="D6" s="18">
        <f>C6*(1+D5)</f>
        <v>194365152003.593</v>
      </c>
      <c r="E6" s="18">
        <f>D6*(1+E5)</f>
        <v>283841218031.84753</v>
      </c>
      <c r="F6" s="18">
        <f>E6*(1+F5)</f>
        <v>414507622499.7035</v>
      </c>
    </row>
    <row r="7" spans="1:6" x14ac:dyDescent="0.25">
      <c r="A7" t="s">
        <v>5</v>
      </c>
      <c r="B7" s="10">
        <f>Assumptions!B7</f>
        <v>0.21457780870205018</v>
      </c>
      <c r="C7" s="10">
        <f>Assumptions!B7</f>
        <v>0.21457780870205018</v>
      </c>
      <c r="D7" s="10">
        <f>Assumptions!B7</f>
        <v>0.21457780870205018</v>
      </c>
      <c r="E7" s="10">
        <f>Assumptions!B7</f>
        <v>0.21457780870205018</v>
      </c>
      <c r="F7" s="10">
        <f>Assumptions!B7</f>
        <v>0.21457780870205018</v>
      </c>
    </row>
    <row r="8" spans="1:6" x14ac:dyDescent="0.25">
      <c r="A8" t="s">
        <v>44</v>
      </c>
      <c r="B8" s="18">
        <f>B6*B7</f>
        <v>19556407997.70375</v>
      </c>
      <c r="C8" s="18">
        <f>C6*C7</f>
        <v>28559207291.9192</v>
      </c>
      <c r="D8" s="18">
        <f>D6*D7</f>
        <v>41706448404.97188</v>
      </c>
      <c r="E8" s="18">
        <f>E6*E7</f>
        <v>60906026584.594696</v>
      </c>
      <c r="F8" s="18">
        <f>F6*F7</f>
        <v>88944137326.283</v>
      </c>
    </row>
    <row r="9" spans="1:6" x14ac:dyDescent="0.25">
      <c r="A9" t="s">
        <v>45</v>
      </c>
      <c r="B9" s="18">
        <f>B8*(1-Assumptions!B8)</f>
        <v>16456647688.541592</v>
      </c>
      <c r="C9" s="18">
        <f>C8*(1-Assumptions!B8)</f>
        <v>24032471235.122875</v>
      </c>
      <c r="D9" s="18">
        <f>D8*(1-Assumptions!B8)</f>
        <v>35095827813.65312</v>
      </c>
      <c r="E9" s="18">
        <f>E8*(1-Assumptions!B8)</f>
        <v>51252204480.9717</v>
      </c>
      <c r="F9" s="18">
        <f>F8*(1-Assumptions!B8)</f>
        <v>74846174824.73093</v>
      </c>
    </row>
    <row r="10" spans="1:6" x14ac:dyDescent="0.25">
      <c r="A10" t="s">
        <v>46</v>
      </c>
      <c r="B10" s="18">
        <f>B6*Assumptions!B9</f>
        <v>2879459989.632129</v>
      </c>
      <c r="C10" s="18">
        <f>C6*Assumptions!B9</f>
        <v>4205020407.7531657</v>
      </c>
      <c r="D10" s="18">
        <f>D6*Assumptions!B9</f>
        <v>6140803030.181928</v>
      </c>
      <c r="E10" s="18">
        <f>E6*Assumptions!B9</f>
        <v>8967723863.114502</v>
      </c>
      <c r="F10" s="18">
        <f>F6*Assumptions!B9</f>
        <v>13096018694.918274</v>
      </c>
    </row>
    <row r="11" spans="1:6" x14ac:dyDescent="0.25">
      <c r="A11" t="s">
        <v>47</v>
      </c>
      <c r="B11" s="18">
        <f>-B6*Assumptions!B10</f>
        <v>-1420093342.8168044</v>
      </c>
      <c r="C11" s="18">
        <f>-C6*Assumptions!B10</f>
        <v>-2073833812.2287915</v>
      </c>
      <c r="D11" s="18">
        <f>-D6*Assumptions!B10</f>
        <v>-3028523936.470713</v>
      </c>
      <c r="E11" s="18">
        <f>-E6*Assumptions!B10</f>
        <v>-4422705994.902637</v>
      </c>
      <c r="F11" s="18">
        <f>-F6*Assumptions!B10</f>
        <v>-6458700253.874276</v>
      </c>
    </row>
    <row r="12" spans="1:6" x14ac:dyDescent="0.25">
      <c r="A12" t="s">
        <v>48</v>
      </c>
      <c r="B12" s="18">
        <f>-(B6-Assumptions!B29)*Assumptions!B11</f>
        <v>10862061347.465048</v>
      </c>
      <c r="C12" s="18">
        <f>-(C6-B6)*Assumptions!B11</f>
        <v>15862415105.893757</v>
      </c>
      <c r="D12" s="18">
        <f>-(D6-C6)*Assumptions!B11</f>
        <v>23164683474.229122</v>
      </c>
      <c r="E12" s="18">
        <f>-(E6-D6)*Assumptions!B11</f>
        <v>33828553652.07575</v>
      </c>
      <c r="F12" s="18">
        <f>-(F6-E6)*Assumptions!B11</f>
        <v>49401540213.76932</v>
      </c>
    </row>
    <row r="13" spans="1:6" x14ac:dyDescent="0.25">
      <c r="A13" s="19" t="s">
        <v>49</v>
      </c>
      <c r="B13" s="20">
        <f>B9+B10+B11+B12</f>
        <v>28778075682.821968</v>
      </c>
      <c r="C13" s="20">
        <f>C9+C10+C11+C12</f>
        <v>42026072936.54101</v>
      </c>
      <c r="D13" s="20">
        <f>D9+D10+D11+D12</f>
        <v>61372790381.59346</v>
      </c>
      <c r="E13" s="20">
        <f>E9+E10+E11+E12</f>
        <v>89625776001.25932</v>
      </c>
      <c r="F13" s="20">
        <f>F9+F10+F11+F12</f>
        <v>130885033479.54424</v>
      </c>
    </row>
    <row r="14" spans="1:6" x14ac:dyDescent="0.25">
      <c r="A14" t="s">
        <v>50</v>
      </c>
      <c r="B14" s="21">
        <f>1/(1+Assumptions!$B$26)^(1-0.5*Assumptions!$B$32)</f>
        <v>0.9761517903315028</v>
      </c>
      <c r="C14" s="21">
        <f>1/(1+Assumptions!$B$26)^(2-0.5*Assumptions!$B$32)</f>
        <v>0.9301480189459743</v>
      </c>
      <c r="D14" s="21">
        <f>1/(1+Assumptions!$B$26)^(3-0.5*Assumptions!$B$32)</f>
        <v>0.8863122986798043</v>
      </c>
      <c r="E14" s="21">
        <f>1/(1+Assumptions!$B$26)^(4-0.5*Assumptions!$B$32)</f>
        <v>0.8445424543087756</v>
      </c>
      <c r="F14" s="21">
        <f>1/(1+Assumptions!$B$26)^(5-0.5*Assumptions!$B$32)</f>
        <v>0.8047411258901699</v>
      </c>
    </row>
    <row r="15" spans="1:6" x14ac:dyDescent="0.25">
      <c r="A15" s="19" t="s">
        <v>51</v>
      </c>
      <c r="B15" s="20">
        <f>B13*B14</f>
        <v>28091770100.08215</v>
      </c>
      <c r="C15" s="20">
        <f>C13*C14</f>
        <v>39090468486.00265</v>
      </c>
      <c r="D15" s="20">
        <f>D13*D14</f>
        <v>54395458919.50388</v>
      </c>
      <c r="E15" s="20">
        <f>E13*E14</f>
        <v>75692772833.43211</v>
      </c>
      <c r="F15" s="20">
        <f>F13*F14</f>
        <v>105328569204.501</v>
      </c>
    </row>
    <row r="17" spans="1:2" x14ac:dyDescent="0.25">
      <c r="A17" s="22" t="s">
        <v>52</v>
      </c>
      <c r="B17" s="23">
        <f>SUM(B15:F15)</f>
        <v>302599039543.52185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130885033479.54424</v>
      </c>
    </row>
    <row r="5" spans="1:2" x14ac:dyDescent="0.25">
      <c r="A5" t="s">
        <v>56</v>
      </c>
      <c r="B5" s="18">
        <f>IF(Assumptions!$B$33=0,B4,B4-Forecast!F11-Forecast!F10-Forecast!F12)</f>
        <v>76873211606.20741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0.38694597055933116</v>
      </c>
    </row>
    <row r="7" spans="1:2" x14ac:dyDescent="0.25">
      <c r="A7" t="s">
        <v>58</v>
      </c>
      <c r="B7" s="18">
        <f>-MAX(Forecast!F9,0)*B6</f>
        <v>-29745779474.97677</v>
      </c>
    </row>
    <row r="8" spans="1:2" x14ac:dyDescent="0.25">
      <c r="A8" t="s">
        <v>59</v>
      </c>
      <c r="B8" s="18">
        <f>IF(OR(Assumptions!$B$33=0,Assumptions!B12&lt;=0),B5,MAX(B5+B7,0))</f>
        <v>47127432131.230644</v>
      </c>
    </row>
    <row r="9" spans="1:2" x14ac:dyDescent="0.25">
      <c r="A9" t="s">
        <v>60</v>
      </c>
      <c r="B9" s="18">
        <f>B8*(1+Assumptions!B12)/(Assumptions!B26-Assumptions!B12)</f>
        <v>1974999330761.8909</v>
      </c>
    </row>
    <row r="10" spans="1:2" x14ac:dyDescent="0.25">
      <c r="A10" t="s">
        <v>61</v>
      </c>
      <c r="B10" s="18">
        <f>B9/(1+Assumptions!B26)^(5-0.5*Assumptions!B32)</f>
        <v>1589363185069.656</v>
      </c>
    </row>
    <row r="11" spans="1:2" x14ac:dyDescent="0.25">
      <c r="A11" t="s">
        <v>62</v>
      </c>
      <c r="B11" s="18">
        <f>Forecast!B17+B10</f>
        <v>1891962224613.1777</v>
      </c>
    </row>
    <row r="12" spans="1:2" x14ac:dyDescent="0.25">
      <c r="A12" t="s">
        <v>63</v>
      </c>
      <c r="B12" s="18">
        <f>-Assumptions!B30</f>
        <v>40241000000</v>
      </c>
    </row>
    <row r="13" spans="1:2" x14ac:dyDescent="0.25">
      <c r="A13" t="s">
        <v>64</v>
      </c>
      <c r="B13" s="18">
        <f>B11+B12</f>
        <v>1932203224613.1777</v>
      </c>
    </row>
    <row r="14" spans="1:2" x14ac:dyDescent="0.25">
      <c r="A14" s="19" t="s">
        <v>65</v>
      </c>
      <c r="B14" s="24">
        <f>B13/Assumptions!B31</f>
        <v>2766.697632923126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102040156021.20128</v>
      </c>
    </row>
    <row r="18" spans="1:2" x14ac:dyDescent="0.25">
      <c r="A18" t="s">
        <v>60</v>
      </c>
      <c r="B18" s="18">
        <f>B17*Assumptions!B13</f>
        <v>901582625089.655</v>
      </c>
    </row>
    <row r="19" spans="1:2" x14ac:dyDescent="0.25">
      <c r="A19" t="s">
        <v>61</v>
      </c>
      <c r="B19" s="18">
        <f>B18/(1+Assumptions!B26)^(5-0.5*Assumptions!B32)</f>
        <v>725540616797.664</v>
      </c>
    </row>
    <row r="20" spans="1:2" x14ac:dyDescent="0.25">
      <c r="A20" t="s">
        <v>62</v>
      </c>
      <c r="B20" s="18">
        <f>Forecast!B17+B19</f>
        <v>1028139656341.1858</v>
      </c>
    </row>
    <row r="21" spans="1:2" x14ac:dyDescent="0.25">
      <c r="A21" t="s">
        <v>63</v>
      </c>
      <c r="B21" s="18">
        <f>-Assumptions!B30</f>
        <v>40241000000</v>
      </c>
    </row>
    <row r="22" spans="1:2" x14ac:dyDescent="0.25">
      <c r="A22" t="s">
        <v>64</v>
      </c>
      <c r="B22" s="18">
        <f>B20+B21</f>
        <v>1068380656341.1858</v>
      </c>
    </row>
    <row r="23" spans="1:2" x14ac:dyDescent="0.25">
      <c r="A23" s="19" t="s">
        <v>65</v>
      </c>
      <c r="B23" s="25">
        <f>B22/Assumptions!B31</f>
        <v>1529.8009004988464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319.4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3239.2495886263964</v>
      </c>
    </row>
    <row r="29" spans="1:2" x14ac:dyDescent="0.25">
      <c r="A29" s="19" t="s">
        <v>73</v>
      </c>
      <c r="B29" s="12">
        <f>B28/B26-1</f>
        <v>9.14167059682654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0.029459</v>
      </c>
      <c r="B5" s="31">
        <v>5724.363663217924</v>
      </c>
      <c r="C5" s="31">
        <v>7709.574618162034</v>
      </c>
      <c r="D5" s="31">
        <v>14130.165127265174</v>
      </c>
      <c r="E5" s="31" t="s">
        <v>76</v>
      </c>
      <c r="F5" s="31" t="s">
        <v>76</v>
      </c>
    </row>
    <row r="6" spans="1:6" x14ac:dyDescent="0.25">
      <c r="A6" s="30">
        <v>0.039459</v>
      </c>
      <c r="B6" s="31">
        <v>3450.889495149928</v>
      </c>
      <c r="C6" s="31">
        <v>3851.151587729785</v>
      </c>
      <c r="D6" s="31">
        <v>4523.2893916878575</v>
      </c>
      <c r="E6" s="31">
        <v>5898.441047490709</v>
      </c>
      <c r="F6" s="31">
        <v>10341.53317044933</v>
      </c>
    </row>
    <row r="7" spans="1:6" x14ac:dyDescent="0.25">
      <c r="A7" s="30">
        <v>0.049459</v>
      </c>
      <c r="B7" s="31">
        <v>2494.31435321421</v>
      </c>
      <c r="C7" s="31">
        <v>2608.5345627530055</v>
      </c>
      <c r="D7" s="32">
        <v>2766.650687035013</v>
      </c>
      <c r="E7" s="31">
        <v>3002.499959276132</v>
      </c>
      <c r="F7" s="31">
        <v>3396.7240019527885</v>
      </c>
    </row>
    <row r="8" spans="1:6" x14ac:dyDescent="0.25">
      <c r="A8" s="30">
        <v>0.059459</v>
      </c>
      <c r="B8" s="31">
        <v>1966.177188430094</v>
      </c>
      <c r="C8" s="31">
        <v>1993.17414225779</v>
      </c>
      <c r="D8" s="31">
        <v>2026.099347407076</v>
      </c>
      <c r="E8" s="31">
        <v>2067.9713642440156</v>
      </c>
      <c r="F8" s="31">
        <v>2124.277014605756</v>
      </c>
    </row>
    <row r="9" spans="1:6" x14ac:dyDescent="0.25">
      <c r="A9" s="30">
        <v>0.069459</v>
      </c>
      <c r="B9" s="31">
        <v>1655.166242787191</v>
      </c>
      <c r="C9" s="31">
        <v>1661.0233985133825</v>
      </c>
      <c r="D9" s="31">
        <v>1666.8805542395737</v>
      </c>
      <c r="E9" s="31">
        <v>1672.7377099657651</v>
      </c>
      <c r="F9" s="31">
        <v>1678.5948656919568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62409000000</v>
      </c>
      <c r="C5" s="18">
        <v>53294000000</v>
      </c>
      <c r="D5" s="18">
        <v>44510000000</v>
      </c>
      <c r="E5" s="18">
        <v>20039000000</v>
      </c>
      <c r="F5" s="8" t="s">
        <v>85</v>
      </c>
    </row>
    <row r="6" spans="1:6" x14ac:dyDescent="0.25">
      <c r="A6" t="s">
        <v>44</v>
      </c>
      <c r="B6" s="18">
        <v>17114000000</v>
      </c>
      <c r="C6" s="18">
        <v>14964000000</v>
      </c>
      <c r="D6" s="18">
        <v>11932000000</v>
      </c>
      <c r="E6" s="18">
        <v>706000000</v>
      </c>
      <c r="F6" s="8" t="s">
        <v>86</v>
      </c>
    </row>
    <row r="7" spans="1:6" x14ac:dyDescent="0.25">
      <c r="A7" t="s">
        <v>87</v>
      </c>
      <c r="B7" s="18">
        <v>1095000000</v>
      </c>
      <c r="C7" s="18">
        <v>1107000000</v>
      </c>
      <c r="D7" s="18">
        <v>1052000000</v>
      </c>
      <c r="E7" s="18">
        <v>1291000000</v>
      </c>
      <c r="F7" s="8" t="s">
        <v>88</v>
      </c>
    </row>
    <row r="8" spans="1:6" x14ac:dyDescent="0.25">
      <c r="A8" t="s">
        <v>89</v>
      </c>
      <c r="B8" s="18">
        <v>797000000</v>
      </c>
      <c r="C8" s="18">
        <v>591000000</v>
      </c>
      <c r="D8" s="18">
        <v>606000000</v>
      </c>
      <c r="E8" s="18">
        <v>498000000</v>
      </c>
      <c r="F8" s="8" t="s">
        <v>90</v>
      </c>
    </row>
    <row r="9" spans="1:6" x14ac:dyDescent="0.25">
      <c r="A9" t="s">
        <v>91</v>
      </c>
      <c r="B9" s="18">
        <v>5734000000</v>
      </c>
      <c r="C9" s="18">
        <v>-3321000000</v>
      </c>
      <c r="D9" s="18">
        <v>-9256000000</v>
      </c>
      <c r="E9" s="18">
        <v>800000000</v>
      </c>
      <c r="F9" s="8" t="s">
        <v>92</v>
      </c>
    </row>
    <row r="10" spans="1:6" x14ac:dyDescent="0.25">
      <c r="A10" t="s">
        <v>93</v>
      </c>
      <c r="B10" s="18">
        <v>31614000000</v>
      </c>
      <c r="C10" s="18">
        <v>40322000000</v>
      </c>
      <c r="D10" s="18">
        <v>45573000000</v>
      </c>
      <c r="E10" s="18">
        <v>46659000000</v>
      </c>
      <c r="F10" s="8" t="s">
        <v>94</v>
      </c>
    </row>
    <row r="11" spans="1:6" x14ac:dyDescent="0.25">
      <c r="A11" t="s">
        <v>95</v>
      </c>
      <c r="B11" s="18">
        <v>71855000000</v>
      </c>
      <c r="C11" s="18">
        <v>76914000000</v>
      </c>
      <c r="D11" s="18">
        <v>59340000000</v>
      </c>
      <c r="E11" s="18">
        <v>42545000000</v>
      </c>
      <c r="F11" s="8" t="s">
        <v>96</v>
      </c>
    </row>
    <row r="12" spans="1:6" x14ac:dyDescent="0.25">
      <c r="A12" t="s">
        <v>32</v>
      </c>
      <c r="B12" s="34">
        <v>698378891</v>
      </c>
      <c r="C12" s="34">
        <v>688704882</v>
      </c>
      <c r="D12" s="34">
        <v>671062240</v>
      </c>
      <c r="E12" s="34">
        <v>657092826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