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<sst xmlns="http://schemas.openxmlformats.org/spreadsheetml/2006/main" count="115" uniqueCount="103">
  <si>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Alibaba Group Holding Limited (9988.HK)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</si>
  <si>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</si>
  <si>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</si>
  <si>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</si>
  <si>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</si>
  <si>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</si>
  <si>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</si>
  <si>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</si>
  <si>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</si>
  <si>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</si>
  <si>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</si>
  <si>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</si>
  <si>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</si>
  <si>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</si>
  <si>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</si>
  <si>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</si>
  <si>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</si>
  <si>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</si>
  <si>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</si>
  <si>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</si>
  <si>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</si>
  <si>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</si>
  <si>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</si>
  <si>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</si>
  <si>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</si>
  <si>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</si>
  <si>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</si>
  <si>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</si>
  <si>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</si>
  <si>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</si>
  <si>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2026-03-31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</si>
  <si>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</si>
  <si>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</si>
  <si>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</si>
  <si>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</si>
  <si>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</si>
  <si>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</si>
  <si>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</si>
  <si>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</si>
  <si>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</si>
  <si>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</si>
  <si>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</si>
  <si>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</si>
  <si>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</si>
  <si>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</si>
  <si>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</si>
  <si>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</si>
  <si>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</si>
  <si>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</si>
  <si>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</si>
  <si>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</si>
  <si>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</si>
  <si>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</si>
  <si>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</si>
  <si>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</si>
  <si>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</si>
  <si>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</si>
  <si>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</si>
  <si>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</si>
  <si>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</si>
  <si>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</si>
  <si>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</si>
  <si>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</si>
  <si>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</si>
  <si>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</si>
  <si>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</si>
  <si>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</si>
  <si>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</si>
  <si>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</si>
  <si>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</si>
  <si>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</si>
  <si>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</si>
  <si>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</si>
  <si>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</si>
  <si>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</si>
  <si>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</si>
  <si>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</si>
  <si>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</si>
  <si>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</si>
  <si>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</si>
  <si>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</si>
  <si>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</si>
  <si>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</si>
  <si>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</si>
  <si>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</si>
  <si>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</si>
  <si>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</si>
  <si>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</si>
  <si>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</si>
  <si>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</si>
  <si>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</si>
  <si>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</si>
  <si>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</si>
  <si>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</si>
  <si>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</si>
  <si>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</si>
  <si>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</si>
  <si>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</si>
  <si>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</si>
  <si>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Capital expenditure runs at 7.1% of revenue against depreciation of 4.7%.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</si>
  <si>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</si>
  <si>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Current EV/EBITDA of 20.0x sits outside a defensible 3-20x band, so the exit multiple is capped at 20.0x. A multiple that far out usually means EBITDA is the wrong denominator for this business.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</si>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</sst>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0.05624715260175872</v>
      </c>
    </row>
    <row r="7" spans="1:2" x14ac:dyDescent="0.25">
      <c r="A7" t="s">
        <v>5</v>
      </c>
      <c r="B7" s="6">
        <v>0.11403983013008283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0.04749059328747599</v>
      </c>
    </row>
    <row r="10" spans="1:2" x14ac:dyDescent="0.25">
      <c r="A10" t="s">
        <v>8</v>
      </c>
      <c r="B10" s="6">
        <v>0.07120529959174418</v>
      </c>
    </row>
    <row r="11" spans="1:2" x14ac:dyDescent="0.25">
      <c r="A11" t="s">
        <v>9</v>
      </c>
      <c r="B11" s="6">
        <v>0.43473060403414343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0.08207033230565422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0.665</v>
      </c>
      <c r="C19" s="8" t="s">
        <v>19</v>
      </c>
    </row>
    <row r="20" spans="1:2" x14ac:dyDescent="0.25">
      <c r="A20" t="s">
        <v>20</v>
      </c>
      <c r="B20" s="10">
        <f>B17+B19*B18</f>
        <v>0.07855000000000001</v>
      </c>
    </row>
    <row r="21" spans="1:3" x14ac:dyDescent="0.25">
      <c r="A21" t="s">
        <v>21</v>
      </c>
      <c r="B21" s="6">
        <v>0.036966434643434146</v>
      </c>
      <c r="C21" s="8" t="s">
        <v>22</v>
      </c>
    </row>
    <row r="22" spans="1:2" x14ac:dyDescent="0.25">
      <c r="A22" t="s">
        <v>23</v>
      </c>
      <c r="B22" s="11">
        <v>2173429350400</v>
      </c>
    </row>
    <row r="23" spans="1:2" x14ac:dyDescent="0.25">
      <c r="A23" t="s">
        <v>24</v>
      </c>
      <c r="B23" s="11">
        <v>281722000000</v>
      </c>
    </row>
    <row r="24" spans="1:2" x14ac:dyDescent="0.25">
      <c r="A24" t="s">
        <v>25</v>
      </c>
      <c r="B24" s="10">
        <f>B22/(B22+B23)</f>
        <v>0.8852526953362362</v>
      </c>
    </row>
    <row r="25" spans="1:2" x14ac:dyDescent="0.25">
      <c r="A25" t="s">
        <v>26</v>
      </c>
      <c r="B25" s="10">
        <f>1-B24</f>
        <v>0.11474730466376382</v>
      </c>
    </row>
    <row r="26" spans="1:2" x14ac:dyDescent="0.25">
      <c r="A26" t="s">
        <v>27</v>
      </c>
      <c r="B26" s="12">
        <f>B24*B20+B25*B21*(1-B8)</f>
        <v>0.07307850116519467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1023670000000</v>
      </c>
      <c r="C29" s="8" t="s">
        <v>30</v>
      </c>
    </row>
    <row r="30" spans="1:2" x14ac:dyDescent="0.25">
      <c r="A30" t="s">
        <v>31</v>
      </c>
      <c r="B30" s="11">
        <v>-35172000000</v>
      </c>
    </row>
    <row r="31" spans="1:2" x14ac:dyDescent="0.25">
      <c r="A31" t="s">
        <v>32</v>
      </c>
      <c r="B31" s="13">
        <v>19235000000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0.05624715260175872</v>
      </c>
      <c r="C5" s="10">
        <f>Assumptions!B6</f>
        <v>0.05624715260175872</v>
      </c>
      <c r="D5" s="10">
        <f>Assumptions!B6</f>
        <v>0.05624715260175872</v>
      </c>
      <c r="E5" s="10">
        <f>Assumptions!B6</f>
        <v>0.05624715260175872</v>
      </c>
      <c r="F5" s="10">
        <f>Assumptions!B6</f>
        <v>0.05624715260175872</v>
      </c>
    </row>
    <row r="6" spans="1:6" x14ac:dyDescent="0.25">
      <c r="A6" t="s">
        <v>43</v>
      </c>
      <c r="B6" s="18">
        <f>Assumptions!B29*(1+B5)</f>
        <v>1081248522703.8424</v>
      </c>
      <c r="C6" s="18">
        <f>B6*(1+C5)</f>
        <v>1142065673360.7915</v>
      </c>
      <c r="D6" s="18">
        <f>C6*(1+D5)</f>
        <v>1206303615571.5464</v>
      </c>
      <c r="E6" s="18">
        <f>D6*(1+E5)</f>
        <v>1274154759120.6523</v>
      </c>
      <c r="F6" s="18">
        <f>E6*(1+F5)</f>
        <v>1345822336295.1687</v>
      </c>
    </row>
    <row r="7" spans="1:6" x14ac:dyDescent="0.25">
      <c r="A7" t="s">
        <v>5</v>
      </c>
      <c r="B7" s="10">
        <f>Assumptions!B7</f>
        <v>0.11403983013008283</v>
      </c>
      <c r="C7" s="10">
        <f>Assumptions!B7</f>
        <v>0.11403983013008283</v>
      </c>
      <c r="D7" s="10">
        <f>Assumptions!B7</f>
        <v>0.11403983013008283</v>
      </c>
      <c r="E7" s="10">
        <f>Assumptions!B7</f>
        <v>0.11403983013008283</v>
      </c>
      <c r="F7" s="10">
        <f>Assumptions!B7</f>
        <v>0.11403983013008283</v>
      </c>
    </row>
    <row r="8" spans="1:6" x14ac:dyDescent="0.25">
      <c r="A8" t="s">
        <v>44</v>
      </c>
      <c r="B8" s="18">
        <f>B6*B7</f>
        <v>123305397857.5492</v>
      </c>
      <c r="C8" s="18">
        <f>C6*C7</f>
        <v>130240975387.46332</v>
      </c>
      <c r="D8" s="18">
        <f>D6*D7</f>
        <v>137566659405.0839</v>
      </c>
      <c r="E8" s="18">
        <f>E6*E7</f>
        <v>145304392289.5558</v>
      </c>
      <c r="F8" s="18">
        <f>F6*F7</f>
        <v>153477350616.37225</v>
      </c>
    </row>
    <row r="9" spans="1:6" x14ac:dyDescent="0.25">
      <c r="A9" t="s">
        <v>45</v>
      </c>
      <c r="B9" s="18">
        <f>B8*(1-Assumptions!B8)</f>
        <v>102960007211.05357</v>
      </c>
      <c r="C9" s="18">
        <f>C8*(1-Assumptions!B8)</f>
        <v>108751214448.53186</v>
      </c>
      <c r="D9" s="18">
        <f>D8*(1-Assumptions!B8)</f>
        <v>114868160603.24504</v>
      </c>
      <c r="E9" s="18">
        <f>E8*(1-Assumptions!B8)</f>
        <v>121329167561.77908</v>
      </c>
      <c r="F9" s="18">
        <f>F8*(1-Assumptions!B8)</f>
        <v>128153587764.67082</v>
      </c>
    </row>
    <row r="10" spans="1:6" x14ac:dyDescent="0.25">
      <c r="A10" t="s">
        <v>46</v>
      </c>
      <c r="B10" s="18">
        <f>B6*Assumptions!B9</f>
        <v>51349133834.41243</v>
      </c>
      <c r="C10" s="18">
        <f>C6*Assumptions!B9</f>
        <v>54237376401.16476</v>
      </c>
      <c r="D10" s="18">
        <f>D6*Assumptions!B9</f>
        <v>57288074388.3201</v>
      </c>
      <c r="E10" s="18">
        <f>E6*Assumptions!B9</f>
        <v>60510365450.70084</v>
      </c>
      <c r="F10" s="18">
        <f>F6*Assumptions!B9</f>
        <v>63913901210.194595</v>
      </c>
    </row>
    <row r="11" spans="1:6" x14ac:dyDescent="0.25">
      <c r="A11" t="s">
        <v>47</v>
      </c>
      <c r="B11" s="18">
        <f>-B6*Assumptions!B10</f>
        <v>-76990624992.2579</v>
      </c>
      <c r="C11" s="18">
        <f>-C6*Assumptions!B10</f>
        <v>-81321128425.1022</v>
      </c>
      <c r="D11" s="18">
        <f>-D6*Assumptions!B10</f>
        <v>-85895210345.37616</v>
      </c>
      <c r="E11" s="18">
        <f>-E6*Assumptions!B10</f>
        <v>-90726571349.4327</v>
      </c>
      <c r="F11" s="18">
        <f>-F6*Assumptions!B10</f>
        <v>-95829682653.15857</v>
      </c>
    </row>
    <row r="12" spans="1:6" x14ac:dyDescent="0.25">
      <c r="A12" t="s">
        <v>48</v>
      </c>
      <c r="B12" s="18">
        <f>-(B6-Assumptions!B29)*Assumptions!B11</f>
        <v>-25031145954.43505</v>
      </c>
      <c r="C12" s="18">
        <f>-(C6-B6)*Assumptions!B11</f>
        <v>-26439076640.730984</v>
      </c>
      <c r="D12" s="18">
        <f>-(D6-C6)*Assumptions!B11</f>
        <v>-27926199419.191868</v>
      </c>
      <c r="E12" s="18">
        <f>-(E6-D6)*Assumptions!B11</f>
        <v>-29496968619.51021</v>
      </c>
      <c r="F12" s="18">
        <f>-(F6-E6)*Assumptions!B11</f>
        <v>-31156089114.741085</v>
      </c>
    </row>
    <row r="13" spans="1:6" x14ac:dyDescent="0.25">
      <c r="A13" s="19" t="s">
        <v>49</v>
      </c>
      <c r="B13" s="20">
        <f>B9+B10+B11+B12</f>
        <v>52287370098.77305</v>
      </c>
      <c r="C13" s="20">
        <f>C9+C10+C11+C12</f>
        <v>55228385783.863434</v>
      </c>
      <c r="D13" s="20">
        <f>D9+D10+D11+D12</f>
        <v>58334825226.9971</v>
      </c>
      <c r="E13" s="20">
        <f>E9+E10+E11+E12</f>
        <v>61615993043.53702</v>
      </c>
      <c r="F13" s="20">
        <f>F9+F10+F11+F12</f>
        <v>65081717206.96576</v>
      </c>
    </row>
    <row r="14" spans="1:6" x14ac:dyDescent="0.25">
      <c r="A14" t="s">
        <v>50</v>
      </c>
      <c r="B14" s="21">
        <f>1/(1+Assumptions!$B$26)^(1-0.5*Assumptions!$B$32)</f>
        <v>0.9653487821036103</v>
      </c>
      <c r="C14" s="21">
        <f>1/(1+Assumptions!$B$26)^(2-0.5*Assumptions!$B$32)</f>
        <v>0.8996068610594594</v>
      </c>
      <c r="D14" s="21">
        <f>1/(1+Assumptions!$B$26)^(3-0.5*Assumptions!$B$32)</f>
        <v>0.8383420784990359</v>
      </c>
      <c r="E14" s="21">
        <f>1/(1+Assumptions!$B$26)^(4-0.5*Assumptions!$B$32)</f>
        <v>0.7812495335511133</v>
      </c>
      <c r="F14" s="21">
        <f>1/(1+Assumptions!$B$26)^(5-0.5*Assumptions!$B$32)</f>
        <v>0.7280450896209353</v>
      </c>
    </row>
    <row r="15" spans="1:6" x14ac:dyDescent="0.25">
      <c r="A15" s="19" t="s">
        <v>51</v>
      </c>
      <c r="B15" s="20">
        <f>B13*B14</f>
        <v>50475549044.25129</v>
      </c>
      <c r="C15" s="20">
        <f>C13*C14</f>
        <v>49683834776.40225</v>
      </c>
      <c r="D15" s="20">
        <f>D13*D14</f>
        <v>48904538629.67874</v>
      </c>
      <c r="E15" s="20">
        <f>E13*E14</f>
        <v>48137465824.55193</v>
      </c>
      <c r="F15" s="20">
        <f>F13*F14</f>
        <v>47382424636.62975</v>
      </c>
    </row>
    <row r="17" spans="1:2" x14ac:dyDescent="0.25">
      <c r="A17" s="22" t="s">
        <v>52</v>
      </c>
      <c r="B17" s="23">
        <f>SUM(B15:F15)</f>
        <v>244583812911.51398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65081717206.96576</v>
      </c>
    </row>
    <row r="5" spans="1:2" x14ac:dyDescent="0.25">
      <c r="A5" t="s">
        <v>56</v>
      </c>
      <c r="B5" s="18">
        <f>IF(Assumptions!$B$33=0,B4,B4-Forecast!F11-Forecast!F10-Forecast!F12)</f>
        <v>146155900694.76047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0.30461677560768974</v>
      </c>
    </row>
    <row r="7" spans="1:2" x14ac:dyDescent="0.25">
      <c r="A7" t="s">
        <v>58</v>
      </c>
      <c r="B7" s="18">
        <f>-MAX(Forecast!F9,0)*B6</f>
        <v>-44521539205.67564</v>
      </c>
    </row>
    <row r="8" spans="1:2" x14ac:dyDescent="0.25">
      <c r="A8" t="s">
        <v>59</v>
      </c>
      <c r="B8" s="18">
        <f>IF(OR(Assumptions!$B$33=0,Assumptions!B12&lt;=0),B5,MAX(B5+B7,0))</f>
        <v>101634361489.08484</v>
      </c>
    </row>
    <row r="9" spans="1:2" x14ac:dyDescent="0.25">
      <c r="A9" t="s">
        <v>60</v>
      </c>
      <c r="B9" s="18">
        <f>B8*(1+Assumptions!B12)/(Assumptions!B26-Assumptions!B12)</f>
        <v>2166773464263.6328</v>
      </c>
    </row>
    <row r="10" spans="1:2" x14ac:dyDescent="0.25">
      <c r="A10" t="s">
        <v>61</v>
      </c>
      <c r="B10" s="18">
        <f>B9/(1+Assumptions!B26)^(5-0.5*Assumptions!B32)</f>
        <v>1577508780978.081</v>
      </c>
    </row>
    <row r="11" spans="1:2" x14ac:dyDescent="0.25">
      <c r="A11" t="s">
        <v>62</v>
      </c>
      <c r="B11" s="18">
        <f>Forecast!B17+B10</f>
        <v>1822092593889.595</v>
      </c>
    </row>
    <row r="12" spans="1:2" x14ac:dyDescent="0.25">
      <c r="A12" t="s">
        <v>63</v>
      </c>
      <c r="B12" s="18">
        <f>-Assumptions!B30</f>
        <v>35172000000</v>
      </c>
    </row>
    <row r="13" spans="1:2" x14ac:dyDescent="0.25">
      <c r="A13" t="s">
        <v>64</v>
      </c>
      <c r="B13" s="18">
        <f>B11+B12</f>
        <v>1857264593889.595</v>
      </c>
    </row>
    <row r="14" spans="1:2" x14ac:dyDescent="0.25">
      <c r="A14" s="19" t="s">
        <v>65</v>
      </c>
      <c r="B14" s="24">
        <f>B13/Assumptions!B31</f>
        <v>96.55651644864024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217391251826.56683</v>
      </c>
    </row>
    <row r="18" spans="1:2" x14ac:dyDescent="0.25">
      <c r="A18" t="s">
        <v>60</v>
      </c>
      <c r="B18" s="18">
        <f>B17*Assumptions!B13</f>
        <v>4347825036531.337</v>
      </c>
    </row>
    <row r="19" spans="1:2" x14ac:dyDescent="0.25">
      <c r="A19" t="s">
        <v>61</v>
      </c>
      <c r="B19" s="18">
        <f>B18/(1+Assumptions!B26)^(5-0.5*Assumptions!B32)</f>
        <v>3165412668377.6035</v>
      </c>
    </row>
    <row r="20" spans="1:2" x14ac:dyDescent="0.25">
      <c r="A20" t="s">
        <v>62</v>
      </c>
      <c r="B20" s="18">
        <f>Forecast!B17+B19</f>
        <v>3409996481289.1177</v>
      </c>
    </row>
    <row r="21" spans="1:2" x14ac:dyDescent="0.25">
      <c r="A21" t="s">
        <v>63</v>
      </c>
      <c r="B21" s="18">
        <f>-Assumptions!B30</f>
        <v>35172000000</v>
      </c>
    </row>
    <row r="22" spans="1:2" x14ac:dyDescent="0.25">
      <c r="A22" t="s">
        <v>64</v>
      </c>
      <c r="B22" s="18">
        <f>B20+B21</f>
        <v>3445168481289.1177</v>
      </c>
    </row>
    <row r="23" spans="1:2" x14ac:dyDescent="0.25">
      <c r="A23" s="19" t="s">
        <v>65</v>
      </c>
      <c r="B23" s="25">
        <f>B22/Assumptions!B31</f>
        <v>179.10935696850106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109.3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113.048369458068</v>
      </c>
    </row>
    <row r="29" spans="1:2" x14ac:dyDescent="0.25">
      <c r="A29" s="19" t="s">
        <v>73</v>
      </c>
      <c r="B29" s="12">
        <f>B28/B26-1</f>
        <v>0.034294322580677106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0.053079</v>
      </c>
      <c r="B5" s="31">
        <v>146.30515544509234</v>
      </c>
      <c r="C5" s="31">
        <v>155.56243298819783</v>
      </c>
      <c r="D5" s="31">
        <v>167.98594645790308</v>
      </c>
      <c r="E5" s="31">
        <v>185.63356399836505</v>
      </c>
      <c r="F5" s="31">
        <v>212.83968248227316</v>
      </c>
    </row>
    <row r="6" spans="1:6" x14ac:dyDescent="0.25">
      <c r="A6" s="30">
        <v>0.063079</v>
      </c>
      <c r="B6" s="31">
        <v>114.39087734398572</v>
      </c>
      <c r="C6" s="31">
        <v>118.16900449031812</v>
      </c>
      <c r="D6" s="31">
        <v>122.8469968159566</v>
      </c>
      <c r="E6" s="31">
        <v>128.83290709424972</v>
      </c>
      <c r="F6" s="31">
        <v>136.8254343276484</v>
      </c>
    </row>
    <row r="7" spans="1:6" x14ac:dyDescent="0.25">
      <c r="A7" s="30">
        <v>0.073079</v>
      </c>
      <c r="B7" s="31">
        <v>93.55238663531357</v>
      </c>
      <c r="C7" s="31">
        <v>94.94423625403732</v>
      </c>
      <c r="D7" s="32">
        <v>96.55547939482722</v>
      </c>
      <c r="E7" s="31">
        <v>98.46250833306094</v>
      </c>
      <c r="F7" s="31">
        <v>100.78183839113815</v>
      </c>
    </row>
    <row r="8" spans="1:6" x14ac:dyDescent="0.25">
      <c r="A8" s="30">
        <v>0.083079</v>
      </c>
      <c r="B8" s="31">
        <v>79.08020767858834</v>
      </c>
      <c r="C8" s="31">
        <v>79.39953222066309</v>
      </c>
      <c r="D8" s="31">
        <v>79.71885676273783</v>
      </c>
      <c r="E8" s="31">
        <v>80.03818130481257</v>
      </c>
      <c r="F8" s="31">
        <v>80.35750584688729</v>
      </c>
    </row>
    <row r="9" spans="1:6" x14ac:dyDescent="0.25">
      <c r="A9" s="30">
        <v>0.093079</v>
      </c>
      <c r="B9" s="31">
        <v>69.49614906342899</v>
      </c>
      <c r="C9" s="31">
        <v>69.76961956043587</v>
      </c>
      <c r="D9" s="31">
        <v>70.04309005744273</v>
      </c>
      <c r="E9" s="31">
        <v>70.31656055444962</v>
      </c>
      <c r="F9" s="31">
        <v>70.59003105145648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1023670000000</v>
      </c>
      <c r="C5" s="18">
        <v>996347000000</v>
      </c>
      <c r="D5" s="18">
        <v>941168000000</v>
      </c>
      <c r="E5" s="18">
        <v>868687000000</v>
      </c>
      <c r="F5" s="8" t="s">
        <v>84</v>
      </c>
    </row>
    <row r="6" spans="1:6" x14ac:dyDescent="0.25">
      <c r="A6" t="s">
        <v>44</v>
      </c>
      <c r="B6" s="18">
        <v>59665000000</v>
      </c>
      <c r="C6" s="18">
        <v>147076000000</v>
      </c>
      <c r="D6" s="18">
        <v>123871000000</v>
      </c>
      <c r="E6" s="18">
        <v>103065000000</v>
      </c>
      <c r="F6" s="8" t="s">
        <v>85</v>
      </c>
    </row>
    <row r="7" spans="1:6" x14ac:dyDescent="0.25">
      <c r="A7" t="s">
        <v>86</v>
      </c>
      <c r="B7" s="18">
        <v>47118000000</v>
      </c>
      <c r="C7" s="18">
        <v>42459000000</v>
      </c>
      <c r="D7" s="18">
        <v>44504000000</v>
      </c>
      <c r="E7" s="18">
        <v>46938000000</v>
      </c>
      <c r="F7" s="8" t="s">
        <v>87</v>
      </c>
    </row>
    <row r="8" spans="1:6" x14ac:dyDescent="0.25">
      <c r="A8" t="s">
        <v>88</v>
      </c>
      <c r="B8" s="18">
        <v>126937000000</v>
      </c>
      <c r="C8" s="18">
        <v>85972000000</v>
      </c>
      <c r="D8" s="18">
        <v>32929000000</v>
      </c>
      <c r="E8" s="18">
        <v>34352000000</v>
      </c>
      <c r="F8" s="8" t="s">
        <v>89</v>
      </c>
    </row>
    <row r="9" spans="1:6" x14ac:dyDescent="0.25">
      <c r="A9" t="s">
        <v>90</v>
      </c>
      <c r="B9" s="18">
        <v>22547000000</v>
      </c>
      <c r="C9" s="18">
        <v>23988000000</v>
      </c>
      <c r="D9" s="18">
        <v>13749000000</v>
      </c>
      <c r="E9" s="18">
        <v>-13482000000</v>
      </c>
      <c r="F9" s="8" t="s">
        <v>91</v>
      </c>
    </row>
    <row r="10" spans="1:6" x14ac:dyDescent="0.25">
      <c r="A10" t="s">
        <v>92</v>
      </c>
      <c r="B10" s="18">
        <v>281722000000</v>
      </c>
      <c r="C10" s="18">
        <v>248110000000</v>
      </c>
      <c r="D10" s="18">
        <v>205614000000</v>
      </c>
      <c r="E10" s="18">
        <v>195569000000</v>
      </c>
      <c r="F10" s="8" t="s">
        <v>93</v>
      </c>
    </row>
    <row r="11" spans="1:6" x14ac:dyDescent="0.25">
      <c r="A11" t="s">
        <v>94</v>
      </c>
      <c r="B11" s="18">
        <v>316894000000</v>
      </c>
      <c r="C11" s="18">
        <v>428093000000</v>
      </c>
      <c r="D11" s="18">
        <v>571029000000</v>
      </c>
      <c r="E11" s="18">
        <v>524470000000</v>
      </c>
      <c r="F11" s="8" t="s">
        <v>95</v>
      </c>
    </row>
    <row r="12" spans="1:6" x14ac:dyDescent="0.25">
      <c r="A12" t="s">
        <v>32</v>
      </c>
      <c r="B12" s="34">
        <v>19235000000</v>
      </c>
      <c r="C12" s="34">
        <v>19318000000</v>
      </c>
      <c r="D12" s="34">
        <v>20359000000</v>
      </c>
      <c r="E12" s="34">
        <v>21114000000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2026-09-19T00:10:02Z</dcterms:modified>
</cp:coreProperties>
</file>