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<sst xmlns="http://schemas.openxmlformats.org/spreadsheetml/2006/main" count="114" uniqueCount="102">
  <si>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Pop Mart International Group Limited (9992.HK)</t>
  </si>
  <si>
    <t>DCF Studio - Base case</t>
  </si>
  <si>
    <t>Blue figures on a cream fill are inputs. Every other figure is a formula - change an input and the model reprices. Currency figures are CNY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</si>
  <si>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</si>
  <si>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</si>
  <si>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</si>
  <si>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</si>
  <si>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</si>
  <si>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</si>
  <si>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</si>
  <si>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</si>
  <si>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</si>
  <si>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</si>
  <si>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</si>
  <si>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</si>
  <si>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</si>
  <si>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HKD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</si>
  <si>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</si>
  <si>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</si>
  <si>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</si>
  <si>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</si>
  <si>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</si>
  <si>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</si>
  <si>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(CNY m)</t>
  </si>
  <si>
    <t>Total debt (CNY m)</t>
  </si>
  <si>
    <t>Equity weight</t>
  </si>
  <si>
    <t>Debt weight</t>
  </si>
  <si>
    <t>WACC</t>
  </si>
  <si>
    <t>Base year</t>
  </si>
  <si>
    <t>Revenue, last reported year (CNY m)</t>
  </si>
  <si>
    <t>Fiscal year ended 2024-12-31</t>
  </si>
  <si>
    <t>Net debt (CNY m)</t>
  </si>
  <si>
    <t>Diluted shares</t>
  </si>
  <si>
    <t>Mid-year discounting (1 = yes, 0 = no)</t>
  </si>
  <si>
    <t>Terminal year on a steady-state footing (1 = yes, 0 = no)</t>
  </si>
  <si>
    <t>Forecast cashflows (CNY m)</t>
  </si>
  <si>
    <t>Every figure below is a formula. Edit the drivers on Assumptions.</t>
  </si>
  <si>
    <t>Year</t>
  </si>
  <si>
    <t>FY25</t>
  </si>
  <si>
    <t>FY26</t>
  </si>
  <si>
    <t>FY27</t>
  </si>
  <si>
    <t>FY28</t>
  </si>
  <si>
    <t>FY29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</si>
  <si>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</si>
  <si>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</si>
  <si>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</si>
  <si>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</si>
  <si>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</si>
  <si>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</si>
  <si>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</si>
  <si>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</si>
  <si>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</si>
  <si>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</si>
  <si>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(CNY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</si>
  <si>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</si>
  <si>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</si>
  <si>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</si>
  <si>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</si>
  <si>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</si>
  <si>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</si>
  <si>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</si>
  <si>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</si>
  <si>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</si>
  <si>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</si>
  <si>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</si>
  <si>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</si>
  <si>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</si>
  <si>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</si>
  <si>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</si>
  <si>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(HKD)</t>
  </si>
  <si>
    <t>Conversion, CNY to HKD</t>
  </si>
  <si>
    <t>CNY/HKD at 1.1708</t>
  </si>
  <si>
    <t>Value per share (HKD)</t>
  </si>
  <si>
    <t>Implied upside</t>
  </si>
  <si>
    <t>Value per share (CNY)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</si>
  <si>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</si>
  <si>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(CNY m, except shares)</t>
  </si>
  <si>
    <t>What the model was built from. "derived" means the figure was not reported and was computed - the note says how.</t>
  </si>
  <si>
    <t>Fiscal year end</t>
  </si>
  <si>
    <t>2024-12-31</t>
  </si>
  <si>
    <t>2023-12-31</t>
  </si>
  <si>
    <t>2022-12-31</t>
  </si>
  <si>
    <t>2021-12-31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</si>
  <si>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</si>
  <si>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</si>
  <si>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</si>
  <si>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</si>
  <si>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</si>
  <si>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</si>
  <si>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</si>
  <si>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</si>
  <si>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</si>
  <si>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</si>
  <si>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</si>
  <si>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</si>
  <si>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</si>
  <si>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</si>
  <si>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</si>
  <si>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CNY, trades in HKD. Modelled in CNY, converted at the end.</t>
  </si>
  <si>
    <t>Note: Risk-free rate is an assumption: HKD assumption - no free live source available for this market.</t>
  </si>
  <si>
    <t>Current EV/EBITDA of 38.8x sits outside a defensible 3-20x band, so the exit multiple is capped at 20.0x. A multiple that far out usually means EBITDA is the wrong denominator for this business.</t>
  </si>
  <si>
    <t>Data: Yahoo Finance. Risk-free rate: HKD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</si>
</sst>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0.4265853851305321</v>
      </c>
    </row>
    <row r="7" spans="1:2" x14ac:dyDescent="0.25">
      <c r="A7" t="s">
        <v>5</v>
      </c>
      <c r="B7" s="6">
        <v>0.22250771226941668</v>
      </c>
    </row>
    <row r="8" spans="1:2" x14ac:dyDescent="0.25">
      <c r="A8" t="s">
        <v>6</v>
      </c>
      <c r="B8" s="6">
        <v>0.165</v>
      </c>
    </row>
    <row r="9" spans="1:2" x14ac:dyDescent="0.25">
      <c r="A9" t="s">
        <v>7</v>
      </c>
      <c r="B9" s="6">
        <v>0.1000350968141618</v>
      </c>
    </row>
    <row r="10" spans="1:2" x14ac:dyDescent="0.25">
      <c r="A10" t="s">
        <v>8</v>
      </c>
      <c r="B10" s="6">
        <v>0.06288097499930781</v>
      </c>
    </row>
    <row r="11" spans="1:2" x14ac:dyDescent="0.25">
      <c r="A11" t="s">
        <v>9</v>
      </c>
      <c r="B11" s="6">
        <v>-0.03645275679790261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0.13618614251667466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0.07</v>
      </c>
    </row>
    <row r="19" spans="1:3" x14ac:dyDescent="0.25">
      <c r="A19" t="s">
        <v>18</v>
      </c>
      <c r="B19" s="9">
        <v>1.02881</v>
      </c>
      <c r="C19" s="8" t="s">
        <v>19</v>
      </c>
    </row>
    <row r="20" spans="1:2" x14ac:dyDescent="0.25">
      <c r="A20" t="s">
        <v>20</v>
      </c>
      <c r="B20" s="10">
        <f>B17+B19*B18</f>
        <v>0.1040167</v>
      </c>
    </row>
    <row r="21" spans="1:3" x14ac:dyDescent="0.25">
      <c r="A21" t="s">
        <v>21</v>
      </c>
      <c r="B21" s="6">
        <v>0.04851334834059038</v>
      </c>
      <c r="C21" s="8" t="s">
        <v>22</v>
      </c>
    </row>
    <row r="22" spans="1:2" x14ac:dyDescent="0.25">
      <c r="A22" t="s">
        <v>23</v>
      </c>
      <c r="B22" s="11">
        <v>204856000512</v>
      </c>
    </row>
    <row r="23" spans="1:2" x14ac:dyDescent="0.25">
      <c r="A23" t="s">
        <v>24</v>
      </c>
      <c r="B23" s="11">
        <v>964561000</v>
      </c>
    </row>
    <row r="24" spans="1:2" x14ac:dyDescent="0.25">
      <c r="A24" t="s">
        <v>25</v>
      </c>
      <c r="B24" s="10">
        <f>B22/(B22+B23)</f>
        <v>0.9953135828951484</v>
      </c>
    </row>
    <row r="25" spans="1:2" x14ac:dyDescent="0.25">
      <c r="A25" t="s">
        <v>26</v>
      </c>
      <c r="B25" s="10">
        <f>1-B24</f>
        <v>0.004686417104851626</v>
      </c>
    </row>
    <row r="26" spans="1:2" x14ac:dyDescent="0.25">
      <c r="A26" t="s">
        <v>27</v>
      </c>
      <c r="B26" s="12">
        <f>B24*B20+B25*B21*(1-B8)</f>
        <v>0.10371907476880304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13037749000</v>
      </c>
      <c r="C29" s="8" t="s">
        <v>30</v>
      </c>
    </row>
    <row r="30" spans="1:2" x14ac:dyDescent="0.25">
      <c r="A30" t="s">
        <v>31</v>
      </c>
      <c r="B30" s="11">
        <v>-8667033000</v>
      </c>
    </row>
    <row r="31" spans="1:2" x14ac:dyDescent="0.25">
      <c r="A31" t="s">
        <v>32</v>
      </c>
      <c r="B31" s="13">
        <v>1332080000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0.4265853851305321</v>
      </c>
      <c r="C5" s="10">
        <f>Assumptions!B6</f>
        <v>0.4265853851305321</v>
      </c>
      <c r="D5" s="10">
        <f>Assumptions!B6</f>
        <v>0.4265853851305321</v>
      </c>
      <c r="E5" s="10">
        <f>Assumptions!B6</f>
        <v>0.4265853851305321</v>
      </c>
      <c r="F5" s="10">
        <f>Assumptions!B6</f>
        <v>0.4265853851305321</v>
      </c>
    </row>
    <row r="6" spans="1:6" x14ac:dyDescent="0.25">
      <c r="A6" t="s">
        <v>43</v>
      </c>
      <c r="B6" s="18">
        <f>Assumptions!B29*(1+B5)</f>
        <v>18599462178.40021</v>
      </c>
      <c r="C6" s="18">
        <f>B6*(1+C5)</f>
        <v>26533720914.99383</v>
      </c>
      <c r="D6" s="18">
        <f>C6*(1+D5)</f>
        <v>37852618470.46253</v>
      </c>
      <c r="E6" s="18">
        <f>D6*(1+E5)</f>
        <v>53999992298.88389</v>
      </c>
      <c r="F6" s="18">
        <f>E6*(1+F5)</f>
        <v>77035599810.74904</v>
      </c>
    </row>
    <row r="7" spans="1:6" x14ac:dyDescent="0.25">
      <c r="A7" t="s">
        <v>5</v>
      </c>
      <c r="B7" s="10">
        <f>Assumptions!B7</f>
        <v>0.22250771226941668</v>
      </c>
      <c r="C7" s="10">
        <f>Assumptions!B7</f>
        <v>0.22250771226941668</v>
      </c>
      <c r="D7" s="10">
        <f>Assumptions!B7</f>
        <v>0.22250771226941668</v>
      </c>
      <c r="E7" s="10">
        <f>Assumptions!B7</f>
        <v>0.22250771226941668</v>
      </c>
      <c r="F7" s="10">
        <f>Assumptions!B7</f>
        <v>0.22250771226941668</v>
      </c>
    </row>
    <row r="8" spans="1:6" x14ac:dyDescent="0.25">
      <c r="A8" t="s">
        <v>44</v>
      </c>
      <c r="B8" s="18">
        <f>B6*B7</f>
        <v>4138523778.7573724</v>
      </c>
      <c r="C8" s="18">
        <f>C6*C7</f>
        <v>5903957538.790451</v>
      </c>
      <c r="D8" s="18">
        <f>D6*D7</f>
        <v>8422499539.269685</v>
      </c>
      <c r="E8" s="18">
        <f>E6*E7</f>
        <v>12015414748.990772</v>
      </c>
      <c r="F8" s="18">
        <f>F6*F7</f>
        <v>17141015077.192078</v>
      </c>
    </row>
    <row r="9" spans="1:6" x14ac:dyDescent="0.25">
      <c r="A9" t="s">
        <v>45</v>
      </c>
      <c r="B9" s="18">
        <f>B8*(1-Assumptions!B8)</f>
        <v>3455667355.262406</v>
      </c>
      <c r="C9" s="18">
        <f>C8*(1-Assumptions!B8)</f>
        <v>4929804544.890026</v>
      </c>
      <c r="D9" s="18">
        <f>D8*(1-Assumptions!B8)</f>
        <v>7032787115.290187</v>
      </c>
      <c r="E9" s="18">
        <f>E8*(1-Assumptions!B8)</f>
        <v>10032871315.407295</v>
      </c>
      <c r="F9" s="18">
        <f>F8*(1-Assumptions!B8)</f>
        <v>14312747589.455383</v>
      </c>
    </row>
    <row r="10" spans="1:6" x14ac:dyDescent="0.25">
      <c r="A10" t="s">
        <v>46</v>
      </c>
      <c r="B10" s="18">
        <f>B6*Assumptions!B9</f>
        <v>1860598999.7076058</v>
      </c>
      <c r="C10" s="18">
        <f>C6*Assumptions!B9</f>
        <v>2654303340.5713577</v>
      </c>
      <c r="D10" s="18">
        <f>D6*Assumptions!B9</f>
        <v>3786590353.3622484</v>
      </c>
      <c r="E10" s="18">
        <f>E6*Assumptions!B9</f>
        <v>5401894457.582841</v>
      </c>
      <c r="F10" s="18">
        <f>F6*Assumptions!B9</f>
        <v>7706263685.205304</v>
      </c>
    </row>
    <row r="11" spans="1:6" x14ac:dyDescent="0.25">
      <c r="A11" t="s">
        <v>47</v>
      </c>
      <c r="B11" s="18">
        <f>-B6*Assumptions!B10</f>
        <v>-1169552316.2405548</v>
      </c>
      <c r="C11" s="18">
        <f>-C6*Assumptions!B10</f>
        <v>-1668466241.4943378</v>
      </c>
      <c r="D11" s="18">
        <f>-D6*Assumptions!B10</f>
        <v>-2380209555.6994915</v>
      </c>
      <c r="E11" s="18">
        <f>-E6*Assumptions!B10</f>
        <v>-3395572165.708932</v>
      </c>
      <c r="F11" s="18">
        <f>-F6*Assumptions!B10</f>
        <v>-4844073625.756392</v>
      </c>
    </row>
    <row r="12" spans="1:6" x14ac:dyDescent="0.25">
      <c r="A12" t="s">
        <v>48</v>
      </c>
      <c r="B12" s="18">
        <f>-(B6-Assumptions!B29)*Assumptions!B11</f>
        <v>202739777.87191284</v>
      </c>
      <c r="C12" s="18">
        <f>-(C6-B6)*Assumptions!B11</f>
        <v>289225604.09668124</v>
      </c>
      <c r="D12" s="18">
        <f>-(D6-C6)*Assumptions!B11</f>
        <v>412605019.8098749</v>
      </c>
      <c r="E12" s="18">
        <f>-(E6-D6)*Assumptions!B11</f>
        <v>588616291.0922612</v>
      </c>
      <c r="F12" s="18">
        <f>-(F6-E6)*Assumptions!B11</f>
        <v>839711398.3219588</v>
      </c>
    </row>
    <row r="13" spans="1:6" x14ac:dyDescent="0.25">
      <c r="A13" s="19" t="s">
        <v>49</v>
      </c>
      <c r="B13" s="20">
        <f>B9+B10+B11+B12</f>
        <v>4349453816.60137</v>
      </c>
      <c r="C13" s="20">
        <f>C9+C10+C11+C12</f>
        <v>6204867248.063727</v>
      </c>
      <c r="D13" s="20">
        <f>D9+D10+D11+D12</f>
        <v>8851772932.76282</v>
      </c>
      <c r="E13" s="20">
        <f>E9+E10+E11+E12</f>
        <v>12627809898.373465</v>
      </c>
      <c r="F13" s="20">
        <f>F9+F10+F11+F12</f>
        <v>18014649047.226254</v>
      </c>
    </row>
    <row r="14" spans="1:6" x14ac:dyDescent="0.25">
      <c r="A14" t="s">
        <v>50</v>
      </c>
      <c r="B14" s="21">
        <f>1/(1+Assumptions!$B$26)^(1-0.5*Assumptions!$B$32)</f>
        <v>0.9518548473306823</v>
      </c>
      <c r="C14" s="21">
        <f>1/(1+Assumptions!$B$26)^(2-0.5*Assumptions!$B$32)</f>
        <v>0.8624068108364151</v>
      </c>
      <c r="D14" s="21">
        <f>1/(1+Assumptions!$B$26)^(3-0.5*Assumptions!$B$32)</f>
        <v>0.7813644164997912</v>
      </c>
      <c r="E14" s="21">
        <f>1/(1+Assumptions!$B$26)^(4-0.5*Assumptions!$B$32)</f>
        <v>0.7079377663772498</v>
      </c>
      <c r="F14" s="21">
        <f>1/(1+Assumptions!$B$26)^(5-0.5*Assumptions!$B$32)</f>
        <v>0.6414111910909414</v>
      </c>
    </row>
    <row r="15" spans="1:6" x14ac:dyDescent="0.25">
      <c r="A15" s="19" t="s">
        <v>51</v>
      </c>
      <c r="B15" s="20">
        <f>B13*B14</f>
        <v>4140048698.5729504</v>
      </c>
      <c r="C15" s="20">
        <f>C13*C14</f>
        <v>5351119775.065963</v>
      </c>
      <c r="D15" s="20">
        <f>D13*D14</f>
        <v>6916460392.596866</v>
      </c>
      <c r="E15" s="20">
        <f>E13*E14</f>
        <v>8939703533.691036</v>
      </c>
      <c r="F15" s="20">
        <f>F13*F14</f>
        <v>11554797502.466682</v>
      </c>
    </row>
    <row r="17" spans="1:2" x14ac:dyDescent="0.25">
      <c r="A17" s="22" t="s">
        <v>52</v>
      </c>
      <c r="B17" s="23">
        <f>SUM(B15:F15)</f>
        <v>36902129902.39349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18014649047.226254</v>
      </c>
    </row>
    <row r="5" spans="1:2" x14ac:dyDescent="0.25">
      <c r="A5" t="s">
        <v>56</v>
      </c>
      <c r="B5" s="18">
        <f>IF(Assumptions!$B$33=0,B4,B4-Forecast!F11-Forecast!F10-Forecast!F12)</f>
        <v>15153089437.299423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0.183572274961375</v>
      </c>
    </row>
    <row r="7" spans="1:2" x14ac:dyDescent="0.25">
      <c r="A7" t="s">
        <v>58</v>
      </c>
      <c r="B7" s="18">
        <f>-MAX(Forecast!F9,0)*B6</f>
        <v>-2781687100.6982365</v>
      </c>
    </row>
    <row r="8" spans="1:2" x14ac:dyDescent="0.25">
      <c r="A8" t="s">
        <v>59</v>
      </c>
      <c r="B8" s="18">
        <f>IF(OR(Assumptions!$B$33=0,Assumptions!B12&lt;=0),B5,MAX(B5+B7,0))</f>
        <v>12371402336.601187</v>
      </c>
    </row>
    <row r="9" spans="1:2" x14ac:dyDescent="0.25">
      <c r="A9" t="s">
        <v>60</v>
      </c>
      <c r="B9" s="18">
        <f>B8*(1+Assumptions!B12)/(Assumptions!B26-Assumptions!B12)</f>
        <v>161087861261.8255</v>
      </c>
    </row>
    <row r="10" spans="1:2" x14ac:dyDescent="0.25">
      <c r="A10" t="s">
        <v>61</v>
      </c>
      <c r="B10" s="18">
        <f>B9/(1+Assumptions!B26)^(5-0.5*Assumptions!B32)</f>
        <v>103323556962.2398</v>
      </c>
    </row>
    <row r="11" spans="1:2" x14ac:dyDescent="0.25">
      <c r="A11" t="s">
        <v>62</v>
      </c>
      <c r="B11" s="18">
        <f>Forecast!B17+B10</f>
        <v>140225686864.6333</v>
      </c>
    </row>
    <row r="12" spans="1:2" x14ac:dyDescent="0.25">
      <c r="A12" t="s">
        <v>63</v>
      </c>
      <c r="B12" s="18">
        <f>-Assumptions!B30</f>
        <v>8667033000</v>
      </c>
    </row>
    <row r="13" spans="1:2" x14ac:dyDescent="0.25">
      <c r="A13" t="s">
        <v>64</v>
      </c>
      <c r="B13" s="18">
        <f>B11+B12</f>
        <v>148892719864.6333</v>
      </c>
    </row>
    <row r="14" spans="1:2" x14ac:dyDescent="0.25">
      <c r="A14" s="19" t="s">
        <v>65</v>
      </c>
      <c r="B14" s="24">
        <f>B13/Assumptions!B31</f>
        <v>111.7746080300232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24847278762.39738</v>
      </c>
    </row>
    <row r="18" spans="1:2" x14ac:dyDescent="0.25">
      <c r="A18" t="s">
        <v>60</v>
      </c>
      <c r="B18" s="18">
        <f>B17*Assumptions!B13</f>
        <v>496945575247.94763</v>
      </c>
    </row>
    <row r="19" spans="1:2" x14ac:dyDescent="0.25">
      <c r="A19" t="s">
        <v>61</v>
      </c>
      <c r="B19" s="18">
        <f>B18/(1+Assumptions!B26)^(5-0.5*Assumptions!B32)</f>
        <v>318746453327.1591</v>
      </c>
    </row>
    <row r="20" spans="1:2" x14ac:dyDescent="0.25">
      <c r="A20" t="s">
        <v>62</v>
      </c>
      <c r="B20" s="18">
        <f>Forecast!B17+B19</f>
        <v>355648583229.5526</v>
      </c>
    </row>
    <row r="21" spans="1:2" x14ac:dyDescent="0.25">
      <c r="A21" t="s">
        <v>63</v>
      </c>
      <c r="B21" s="18">
        <f>-Assumptions!B30</f>
        <v>8667033000</v>
      </c>
    </row>
    <row r="22" spans="1:2" x14ac:dyDescent="0.25">
      <c r="A22" t="s">
        <v>64</v>
      </c>
      <c r="B22" s="18">
        <f>B20+B21</f>
        <v>364315616229.5526</v>
      </c>
    </row>
    <row r="23" spans="1:2" x14ac:dyDescent="0.25">
      <c r="A23" s="19" t="s">
        <v>65</v>
      </c>
      <c r="B23" s="25">
        <f>B22/Assumptions!B31</f>
        <v>273.4937963407247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155.1</v>
      </c>
    </row>
    <row r="27" spans="1:3" x14ac:dyDescent="0.25">
      <c r="A27" t="s">
        <v>70</v>
      </c>
      <c r="B27" s="27">
        <v>1.1708</v>
      </c>
      <c r="C27" s="8" t="s">
        <v>71</v>
      </c>
    </row>
    <row r="28" spans="1:2" x14ac:dyDescent="0.25">
      <c r="A28" t="s">
        <v>72</v>
      </c>
      <c r="B28" s="28">
        <f>B14*B27</f>
        <v>130.86571108155118</v>
      </c>
    </row>
    <row r="29" spans="1:2" x14ac:dyDescent="0.25">
      <c r="A29" s="19" t="s">
        <v>73</v>
      </c>
      <c r="B29" s="12">
        <f>B28/B26-1</f>
        <v>-0.15624944499322246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0.083719</v>
      </c>
      <c r="B5" s="31">
        <v>139.9047618630219</v>
      </c>
      <c r="C5" s="31">
        <v>143.97257068974642</v>
      </c>
      <c r="D5" s="31">
        <v>148.68360395543334</v>
      </c>
      <c r="E5" s="31">
        <v>154.21746974259432</v>
      </c>
      <c r="F5" s="31">
        <v>160.82750838707582</v>
      </c>
    </row>
    <row r="6" spans="1:6" x14ac:dyDescent="0.25">
      <c r="A6" s="30">
        <v>0.093719</v>
      </c>
      <c r="B6" s="31">
        <v>122.1948712619721</v>
      </c>
      <c r="C6" s="31">
        <v>124.70768945380185</v>
      </c>
      <c r="D6" s="31">
        <v>127.5455612759716</v>
      </c>
      <c r="E6" s="31">
        <v>130.78500714554855</v>
      </c>
      <c r="F6" s="31">
        <v>134.52861073580885</v>
      </c>
    </row>
    <row r="7" spans="1:6" x14ac:dyDescent="0.25">
      <c r="A7" s="30">
        <v>0.103719</v>
      </c>
      <c r="B7" s="31">
        <v>108.4899059638156</v>
      </c>
      <c r="C7" s="31">
        <v>110.05021719893176</v>
      </c>
      <c r="D7" s="32">
        <v>111.77471097680632</v>
      </c>
      <c r="E7" s="31">
        <v>113.6967943992906</v>
      </c>
      <c r="F7" s="31">
        <v>115.85959738197037</v>
      </c>
    </row>
    <row r="8" spans="1:6" x14ac:dyDescent="0.25">
      <c r="A8" s="30">
        <v>0.113719</v>
      </c>
      <c r="B8" s="31">
        <v>97.57289294106572</v>
      </c>
      <c r="C8" s="31">
        <v>98.52580569613623</v>
      </c>
      <c r="D8" s="31">
        <v>99.55713289614091</v>
      </c>
      <c r="E8" s="31">
        <v>100.68092411971799</v>
      </c>
      <c r="F8" s="31">
        <v>101.91479849761839</v>
      </c>
    </row>
    <row r="9" spans="1:6" x14ac:dyDescent="0.25">
      <c r="A9" s="30">
        <v>0.123719</v>
      </c>
      <c r="B9" s="31">
        <v>88.6745748535865</v>
      </c>
      <c r="C9" s="31">
        <v>89.22864018703035</v>
      </c>
      <c r="D9" s="31">
        <v>89.81380179323237</v>
      </c>
      <c r="E9" s="31">
        <v>90.4350367215783</v>
      </c>
      <c r="F9" s="31">
        <v>91.09844400195067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13037749000</v>
      </c>
      <c r="C5" s="18">
        <v>6301002000</v>
      </c>
      <c r="D5" s="18">
        <v>4617324000</v>
      </c>
      <c r="E5" s="18">
        <v>4490651000</v>
      </c>
      <c r="F5" s="8" t="s">
        <v>84</v>
      </c>
    </row>
    <row r="6" spans="1:6" x14ac:dyDescent="0.25">
      <c r="A6" t="s">
        <v>44</v>
      </c>
      <c r="B6" s="18">
        <v>4194496000</v>
      </c>
      <c r="C6" s="18">
        <v>1226965000</v>
      </c>
      <c r="D6" s="18">
        <v>543082000</v>
      </c>
      <c r="E6" s="18">
        <v>1149462000</v>
      </c>
      <c r="F6" s="8" t="s">
        <v>85</v>
      </c>
    </row>
    <row r="7" spans="1:6" x14ac:dyDescent="0.25">
      <c r="A7" t="s">
        <v>86</v>
      </c>
      <c r="B7" s="18">
        <v>862823000</v>
      </c>
      <c r="C7" s="18">
        <v>668565000</v>
      </c>
      <c r="D7" s="18">
        <v>604817000</v>
      </c>
      <c r="E7" s="18">
        <v>435002000</v>
      </c>
      <c r="F7" s="8" t="s">
        <v>87</v>
      </c>
    </row>
    <row r="8" spans="1:6" x14ac:dyDescent="0.25">
      <c r="A8" t="s">
        <v>88</v>
      </c>
      <c r="B8" s="18">
        <v>516690000</v>
      </c>
      <c r="C8" s="18">
        <v>392466000</v>
      </c>
      <c r="D8" s="18">
        <v>347623000</v>
      </c>
      <c r="E8" s="18">
        <v>333748000</v>
      </c>
      <c r="F8" s="8" t="s">
        <v>89</v>
      </c>
    </row>
    <row r="9" spans="1:6" x14ac:dyDescent="0.25">
      <c r="A9" t="s">
        <v>90</v>
      </c>
      <c r="B9" s="18">
        <v>-245573000</v>
      </c>
      <c r="C9" s="18">
        <v>-138560000</v>
      </c>
      <c r="D9" s="18">
        <v>112914000</v>
      </c>
      <c r="E9" s="18">
        <v>679914000</v>
      </c>
      <c r="F9" s="8" t="s">
        <v>91</v>
      </c>
    </row>
    <row r="10" spans="1:6" x14ac:dyDescent="0.25">
      <c r="A10" t="s">
        <v>92</v>
      </c>
      <c r="B10" s="18">
        <v>964561000</v>
      </c>
      <c r="C10" s="18">
        <v>792811000</v>
      </c>
      <c r="D10" s="18">
        <v>741131000</v>
      </c>
      <c r="E10" s="18">
        <v>621452000</v>
      </c>
      <c r="F10" s="8" t="s">
        <v>93</v>
      </c>
    </row>
    <row r="11" spans="1:6" x14ac:dyDescent="0.25">
      <c r="A11" t="s">
        <v>94</v>
      </c>
      <c r="B11" s="18">
        <v>9631594000</v>
      </c>
      <c r="C11" s="18">
        <v>5971704000</v>
      </c>
      <c r="D11" s="18">
        <v>5054363000</v>
      </c>
      <c r="E11" s="18">
        <v>5285254000</v>
      </c>
      <c r="F11" s="8" t="s">
        <v>95</v>
      </c>
    </row>
    <row r="12" spans="1:6" x14ac:dyDescent="0.25">
      <c r="A12" t="s">
        <v>32</v>
      </c>
      <c r="B12" s="34">
        <v>1332080000</v>
      </c>
      <c r="C12" s="34">
        <v>1340506000</v>
      </c>
      <c r="D12" s="34">
        <v>1366541000</v>
      </c>
      <c r="E12" s="34">
        <v>1378827000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38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2026-09-19T01:06:42Z</dcterms:modified>
</cp:coreProperties>
</file>