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<sst xmlns="http://schemas.openxmlformats.org/spreadsheetml/2006/main" count="113" uniqueCount="101">
  <si>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CapitaLand Investment Limited (9CI.SI)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</si>
  <si>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</si>
  <si>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</si>
  <si>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</si>
  <si>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</si>
  <si>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</si>
  <si>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</si>
  <si>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</si>
  <si>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</si>
  <si>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</si>
  <si>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</si>
  <si>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</si>
  <si>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</si>
  <si>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</si>
  <si>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</si>
  <si>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</si>
  <si>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</si>
  <si>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</si>
  <si>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</si>
  <si>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</si>
  <si>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</si>
  <si>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</si>
  <si>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</si>
  <si>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</si>
  <si>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</si>
  <si>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</si>
  <si>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</si>
  <si>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</si>
  <si>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</si>
  <si>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</si>
  <si>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</si>
  <si>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</si>
  <si>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</si>
  <si>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</si>
  <si>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</si>
  <si>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</si>
  <si>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</si>
  <si>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</si>
  <si>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</si>
  <si>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</si>
  <si>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</si>
  <si>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</si>
  <si>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</si>
  <si>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</si>
  <si>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</si>
  <si>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</si>
  <si>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</si>
  <si>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</si>
  <si>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</si>
  <si>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</si>
  <si>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</si>
  <si>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</si>
  <si>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</si>
  <si>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</si>
  <si>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</si>
  <si>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</si>
  <si>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</si>
  <si>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</si>
  <si>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</si>
  <si>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</si>
  <si>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</si>
  <si>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</si>
  <si>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</si>
  <si>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</si>
  <si>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</si>
  <si>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</si>
  <si>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</si>
  <si>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</si>
  <si>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</si>
  <si>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</si>
  <si>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</si>
  <si>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</si>
  <si>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</si>
  <si>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</si>
  <si>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</si>
  <si>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</si>
  <si>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</si>
  <si>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</si>
  <si>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</si>
  <si>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</si>
  <si>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</si>
  <si>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</si>
  <si>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</si>
  <si>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</si>
  <si>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</si>
  <si>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</si>
  <si>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</si>
  <si>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</si>
  <si>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</si>
  <si>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</si>
  <si>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</si>
  <si>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</si>
  <si>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</si>
  <si>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</si>
  <si>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</si>
  <si>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</si>
  <si>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</si>
  <si>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</si>
  <si>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</si>
  <si>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27.7x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</si>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</sst>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-0.09482199751125764</v>
      </c>
    </row>
    <row r="7" spans="1:2" x14ac:dyDescent="0.25">
      <c r="A7" t="s">
        <v>5</v>
      </c>
      <c r="B7" s="6">
        <v>0.2552639276031819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0.053230028708386765</v>
      </c>
    </row>
    <row r="10" spans="1:2" x14ac:dyDescent="0.25">
      <c r="A10" t="s">
        <v>8</v>
      </c>
      <c r="B10" s="6">
        <v>0.039735390237756726</v>
      </c>
    </row>
    <row r="11" spans="1:2" x14ac:dyDescent="0.25">
      <c r="A11" t="s">
        <v>9</v>
      </c>
      <c r="B11" s="6">
        <v>-0.1774193548387097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0.06650416501044383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0.72798</v>
      </c>
      <c r="C19" s="8" t="s">
        <v>19</v>
      </c>
    </row>
    <row r="20" spans="1:2" x14ac:dyDescent="0.25">
      <c r="A20" t="s">
        <v>20</v>
      </c>
      <c r="B20" s="10">
        <f>B17+B19*B18</f>
        <v>0.0893187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12983181312</v>
      </c>
    </row>
    <row r="23" spans="1:2" x14ac:dyDescent="0.25">
      <c r="A23" t="s">
        <v>24</v>
      </c>
      <c r="B23" s="11">
        <v>8462000000</v>
      </c>
    </row>
    <row r="24" spans="1:2" x14ac:dyDescent="0.25">
      <c r="A24" t="s">
        <v>25</v>
      </c>
      <c r="B24" s="10">
        <f>B22/(B22+B23)</f>
        <v>0.6054125224268936</v>
      </c>
    </row>
    <row r="25" spans="1:2" x14ac:dyDescent="0.25">
      <c r="A25" t="s">
        <v>26</v>
      </c>
      <c r="B25" s="10">
        <f>1-B24</f>
        <v>0.3945874775731064</v>
      </c>
    </row>
    <row r="26" spans="1:2" x14ac:dyDescent="0.25">
      <c r="A26" t="s">
        <v>27</v>
      </c>
      <c r="B26" s="12">
        <f>B24*B20+B25*B21*(1-B8)</f>
        <v>0.06650416501044383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2133000000</v>
      </c>
      <c r="C29" s="8" t="s">
        <v>30</v>
      </c>
    </row>
    <row r="30" spans="1:2" x14ac:dyDescent="0.25">
      <c r="A30" t="s">
        <v>31</v>
      </c>
      <c r="B30" s="11">
        <v>6440000000</v>
      </c>
    </row>
    <row r="31" spans="1:2" x14ac:dyDescent="0.25">
      <c r="A31" t="s">
        <v>32</v>
      </c>
      <c r="B31" s="13">
        <v>5051413000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-0.09482199751125764</v>
      </c>
      <c r="C5" s="10">
        <f>Assumptions!B6</f>
        <v>-0.09482199751125764</v>
      </c>
      <c r="D5" s="10">
        <f>Assumptions!B6</f>
        <v>-0.09482199751125764</v>
      </c>
      <c r="E5" s="10">
        <f>Assumptions!B6</f>
        <v>-0.09482199751125764</v>
      </c>
      <c r="F5" s="10">
        <f>Assumptions!B6</f>
        <v>-0.09482199751125764</v>
      </c>
    </row>
    <row r="6" spans="1:6" x14ac:dyDescent="0.25">
      <c r="A6" t="s">
        <v>43</v>
      </c>
      <c r="B6" s="18">
        <f>Assumptions!B29*(1+B5)</f>
        <v>1930744679.3084874</v>
      </c>
      <c r="C6" s="18">
        <f>B6*(1+C5)</f>
        <v>1747667612.132224</v>
      </c>
      <c r="D6" s="18">
        <f>C6*(1+D5)</f>
        <v>1581950278.1641169</v>
      </c>
      <c r="E6" s="18">
        <f>D6*(1+E5)</f>
        <v>1431946592.8251057</v>
      </c>
      <c r="F6" s="18">
        <f>E6*(1+F5)</f>
        <v>1296166556.5639896</v>
      </c>
    </row>
    <row r="7" spans="1:6" x14ac:dyDescent="0.25">
      <c r="A7" t="s">
        <v>5</v>
      </c>
      <c r="B7" s="10">
        <f>Assumptions!B7</f>
        <v>0.2552639276031819</v>
      </c>
      <c r="C7" s="10">
        <f>Assumptions!B7</f>
        <v>0.2552639276031819</v>
      </c>
      <c r="D7" s="10">
        <f>Assumptions!B7</f>
        <v>0.2552639276031819</v>
      </c>
      <c r="E7" s="10">
        <f>Assumptions!B7</f>
        <v>0.2552639276031819</v>
      </c>
      <c r="F7" s="10">
        <f>Assumptions!B7</f>
        <v>0.2552639276031819</v>
      </c>
    </row>
    <row r="8" spans="1:6" x14ac:dyDescent="0.25">
      <c r="A8" t="s">
        <v>44</v>
      </c>
      <c r="B8" s="18">
        <f>B6*B7</f>
        <v>492849470.03923035</v>
      </c>
      <c r="C8" s="18">
        <f>C6*C7</f>
        <v>446116498.8177458</v>
      </c>
      <c r="D8" s="18">
        <f>D6*D7</f>
        <v>403814841.27711856</v>
      </c>
      <c r="E8" s="18">
        <f>E6*E7</f>
        <v>365524311.4025307</v>
      </c>
      <c r="F8" s="18">
        <f>F6*F7</f>
        <v>330864566.0564158</v>
      </c>
    </row>
    <row r="9" spans="1:6" x14ac:dyDescent="0.25">
      <c r="A9" t="s">
        <v>45</v>
      </c>
      <c r="B9" s="18">
        <f>B8*(1-Assumptions!B8)</f>
        <v>369637102.52942276</v>
      </c>
      <c r="C9" s="18">
        <f>C8*(1-Assumptions!B8)</f>
        <v>334587374.1133094</v>
      </c>
      <c r="D9" s="18">
        <f>D8*(1-Assumptions!B8)</f>
        <v>302861130.9578389</v>
      </c>
      <c r="E9" s="18">
        <f>E8*(1-Assumptions!B8)</f>
        <v>274143233.55189806</v>
      </c>
      <c r="F9" s="18">
        <f>F8*(1-Assumptions!B8)</f>
        <v>248148424.54231185</v>
      </c>
    </row>
    <row r="10" spans="1:6" x14ac:dyDescent="0.25">
      <c r="A10" t="s">
        <v>46</v>
      </c>
      <c r="B10" s="18">
        <f>B6*Assumptions!B9</f>
        <v>102773594.70815578</v>
      </c>
      <c r="C10" s="18">
        <f>C6*Assumptions!B9</f>
        <v>93028397.16651604</v>
      </c>
      <c r="D10" s="18">
        <f>D6*Assumptions!B9</f>
        <v>84207258.72191636</v>
      </c>
      <c r="E10" s="18">
        <f>E6*Assumptions!B9</f>
        <v>76222558.24495699</v>
      </c>
      <c r="F10" s="18">
        <f>F6*Assumptions!B9</f>
        <v>68994983.01675199</v>
      </c>
    </row>
    <row r="11" spans="1:6" x14ac:dyDescent="0.25">
      <c r="A11" t="s">
        <v>47</v>
      </c>
      <c r="B11" s="18">
        <f>-B6*Assumptions!B10</f>
        <v>-76718893.28179522</v>
      </c>
      <c r="C11" s="18">
        <f>-C6*Assumptions!B10</f>
        <v>-69444254.57396239</v>
      </c>
      <c r="D11" s="18">
        <f>-D6*Assumptions!B10</f>
        <v>-62859411.63957898</v>
      </c>
      <c r="E11" s="18">
        <f>-E6*Assumptions!B10</f>
        <v>-56898956.66553171</v>
      </c>
      <c r="F11" s="18">
        <f>-F6*Assumptions!B10</f>
        <v>-51503683.938199505</v>
      </c>
    </row>
    <row r="12" spans="1:6" x14ac:dyDescent="0.25">
      <c r="A12" t="s">
        <v>48</v>
      </c>
      <c r="B12" s="18">
        <f>-(B6-Assumptions!B29)*Assumptions!B11</f>
        <v>-35884008.50978449</v>
      </c>
      <c r="C12" s="18">
        <f>-(C6-B6)*Assumptions!B11</f>
        <v>-32481415.144175753</v>
      </c>
      <c r="D12" s="18">
        <f>-(D6-C6)*Assumptions!B11</f>
        <v>-29401462.478212573</v>
      </c>
      <c r="E12" s="18">
        <f>-(E6-D6)*Assumptions!B11</f>
        <v>-26613557.07627618</v>
      </c>
      <c r="F12" s="18">
        <f>-(F6-E6)*Assumptions!B11</f>
        <v>-24090006.433423813</v>
      </c>
    </row>
    <row r="13" spans="1:6" x14ac:dyDescent="0.25">
      <c r="A13" s="19" t="s">
        <v>49</v>
      </c>
      <c r="B13" s="20">
        <f>B9+B10+B11+B12</f>
        <v>359807795.4459988</v>
      </c>
      <c r="C13" s="20">
        <f>C9+C10+C11+C12</f>
        <v>325690101.5616873</v>
      </c>
      <c r="D13" s="20">
        <f>D9+D10+D11+D12</f>
        <v>294807515.5619637</v>
      </c>
      <c r="E13" s="20">
        <f>E9+E10+E11+E12</f>
        <v>266853278.05504715</v>
      </c>
      <c r="F13" s="20">
        <f>F9+F10+F11+F12</f>
        <v>241549717.1874405</v>
      </c>
    </row>
    <row r="14" spans="1:6" x14ac:dyDescent="0.25">
      <c r="A14" t="s">
        <v>50</v>
      </c>
      <c r="B14" s="21">
        <f>1/(1+Assumptions!$B$26)^(1-0.5*Assumptions!$B$32)</f>
        <v>0.9683195988324971</v>
      </c>
      <c r="C14" s="21">
        <f>1/(1+Assumptions!$B$26)^(2-0.5*Assumptions!$B$32)</f>
        <v>0.9079379439863835</v>
      </c>
      <c r="D14" s="21">
        <f>1/(1+Assumptions!$B$26)^(3-0.5*Assumptions!$B$32)</f>
        <v>0.8513215173214933</v>
      </c>
      <c r="E14" s="21">
        <f>1/(1+Assumptions!$B$26)^(4-0.5*Assumptions!$B$32)</f>
        <v>0.798235529922339</v>
      </c>
      <c r="F14" s="21">
        <f>1/(1+Assumptions!$B$26)^(5-0.5*Assumptions!$B$32)</f>
        <v>0.7484598336421144</v>
      </c>
    </row>
    <row r="15" spans="1:6" x14ac:dyDescent="0.25">
      <c r="A15" s="19" t="s">
        <v>51</v>
      </c>
      <c r="B15" s="20">
        <f>B13*B14</f>
        <v>348408940.1430747</v>
      </c>
      <c r="C15" s="20">
        <f>C13*C14</f>
        <v>295706401.1886348</v>
      </c>
      <c r="D15" s="20">
        <f>D13*D14</f>
        <v>250975981.46599066</v>
      </c>
      <c r="E15" s="20">
        <f>E13*E14</f>
        <v>213011767.81978387</v>
      </c>
      <c r="F15" s="20">
        <f>F13*F14</f>
        <v>180790261.14241153</v>
      </c>
    </row>
    <row r="17" spans="1:2" x14ac:dyDescent="0.25">
      <c r="A17" s="22" t="s">
        <v>52</v>
      </c>
      <c r="B17" s="23">
        <f>SUM(B15:F15)</f>
        <v>1288893351.7598956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241549717.1874405</v>
      </c>
    </row>
    <row r="5" spans="1:2" x14ac:dyDescent="0.25">
      <c r="A5" t="s">
        <v>56</v>
      </c>
      <c r="B5" s="18">
        <f>IF(Assumptions!$B$33=0,B4,B4-Forecast!F11-Forecast!F10-Forecast!F12)</f>
        <v>255193990.75013912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0.3759163053332674</v>
      </c>
    </row>
    <row r="7" spans="1:2" x14ac:dyDescent="0.25">
      <c r="A7" t="s">
        <v>58</v>
      </c>
      <c r="B7" s="18">
        <f>-MAX(Forecast!F9,0)*B6</f>
        <v>-95931582.14604431</v>
      </c>
    </row>
    <row r="8" spans="1:2" x14ac:dyDescent="0.25">
      <c r="A8" t="s">
        <v>59</v>
      </c>
      <c r="B8" s="18">
        <f>IF(OR(Assumptions!$B$33=0,Assumptions!B12&lt;=0),B5,MAX(B5+B7,0))</f>
        <v>159262408.6040948</v>
      </c>
    </row>
    <row r="9" spans="1:2" x14ac:dyDescent="0.25">
      <c r="A9" t="s">
        <v>60</v>
      </c>
      <c r="B9" s="18">
        <f>B8*(1+Assumptions!B12)/(Assumptions!B26-Assumptions!B12)</f>
        <v>3933194867.987816</v>
      </c>
    </row>
    <row r="10" spans="1:2" x14ac:dyDescent="0.25">
      <c r="A10" t="s">
        <v>61</v>
      </c>
      <c r="B10" s="18">
        <f>B9/(1+Assumptions!B26)^(5-0.5*Assumptions!B32)</f>
        <v>2943838376.576179</v>
      </c>
    </row>
    <row r="11" spans="1:2" x14ac:dyDescent="0.25">
      <c r="A11" t="s">
        <v>62</v>
      </c>
      <c r="B11" s="18">
        <f>Forecast!B17+B10</f>
        <v>4232731728.336075</v>
      </c>
    </row>
    <row r="12" spans="1:2" x14ac:dyDescent="0.25">
      <c r="A12" t="s">
        <v>63</v>
      </c>
      <c r="B12" s="18">
        <f>-Assumptions!B30</f>
        <v>-6440000000</v>
      </c>
    </row>
    <row r="13" spans="1:2" x14ac:dyDescent="0.25">
      <c r="A13" t="s">
        <v>64</v>
      </c>
      <c r="B13" s="18">
        <f>B11+B12</f>
        <v>-2207268271.663925</v>
      </c>
    </row>
    <row r="14" spans="1:2" x14ac:dyDescent="0.25">
      <c r="A14" s="19" t="s">
        <v>65</v>
      </c>
      <c r="B14" s="24">
        <f>B13/Assumptions!B31</f>
        <v>-0.43696056364108915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399859549.0731678</v>
      </c>
    </row>
    <row r="18" spans="1:2" x14ac:dyDescent="0.25">
      <c r="A18" t="s">
        <v>60</v>
      </c>
      <c r="B18" s="18">
        <f>B17*Assumptions!B13</f>
        <v>7997190981.463356</v>
      </c>
    </row>
    <row r="19" spans="1:2" x14ac:dyDescent="0.25">
      <c r="A19" t="s">
        <v>61</v>
      </c>
      <c r="B19" s="18">
        <f>B18/(1+Assumptions!B26)^(5-0.5*Assumptions!B32)</f>
        <v>5985576231.5902815</v>
      </c>
    </row>
    <row r="20" spans="1:2" x14ac:dyDescent="0.25">
      <c r="A20" t="s">
        <v>62</v>
      </c>
      <c r="B20" s="18">
        <f>Forecast!B17+B19</f>
        <v>7274469583.350177</v>
      </c>
    </row>
    <row r="21" spans="1:2" x14ac:dyDescent="0.25">
      <c r="A21" t="s">
        <v>63</v>
      </c>
      <c r="B21" s="18">
        <f>-Assumptions!B30</f>
        <v>-6440000000</v>
      </c>
    </row>
    <row r="22" spans="1:2" x14ac:dyDescent="0.25">
      <c r="A22" t="s">
        <v>64</v>
      </c>
      <c r="B22" s="18">
        <f>B20+B21</f>
        <v>834469583.3501768</v>
      </c>
    </row>
    <row r="23" spans="1:2" x14ac:dyDescent="0.25">
      <c r="A23" s="19" t="s">
        <v>65</v>
      </c>
      <c r="B23" s="25">
        <f>B22/Assumptions!B31</f>
        <v>0.16519527968712452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-0.43696056364108915</v>
      </c>
    </row>
    <row r="29" spans="1:2" x14ac:dyDescent="0.25">
      <c r="A29" s="19" t="s">
        <v>73</v>
      </c>
      <c r="B29" s="12">
        <f>B28/B26-1</f>
        <v>-1.1680617552465726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0.046504</v>
      </c>
      <c r="B5" s="31">
        <v>-0.11024642191828443</v>
      </c>
      <c r="C5" s="31">
        <v>-0.10581948591938098</v>
      </c>
      <c r="D5" s="31">
        <v>-0.1013925499204777</v>
      </c>
      <c r="E5" s="31">
        <v>-0.09696561392157463</v>
      </c>
      <c r="F5" s="31">
        <v>-0.09253867792267136</v>
      </c>
    </row>
    <row r="6" spans="1:6" x14ac:dyDescent="0.25">
      <c r="A6" s="30">
        <v>0.056504</v>
      </c>
      <c r="B6" s="31">
        <v>-0.30579177296818905</v>
      </c>
      <c r="C6" s="31">
        <v>-0.3023009468109047</v>
      </c>
      <c r="D6" s="31">
        <v>-0.2988101206536208</v>
      </c>
      <c r="E6" s="31">
        <v>-0.2953192944963366</v>
      </c>
      <c r="F6" s="31">
        <v>-0.29182846833905246</v>
      </c>
    </row>
    <row r="7" spans="1:6" x14ac:dyDescent="0.25">
      <c r="A7" s="30">
        <v>0.066504</v>
      </c>
      <c r="B7" s="31">
        <v>-0.4426442560773012</v>
      </c>
      <c r="C7" s="31">
        <v>-0.43980144104085805</v>
      </c>
      <c r="D7" s="32">
        <v>-0.436958626004415</v>
      </c>
      <c r="E7" s="31">
        <v>-0.43411581096797186</v>
      </c>
      <c r="F7" s="31">
        <v>-0.43127299593152896</v>
      </c>
    </row>
    <row r="8" spans="1:6" x14ac:dyDescent="0.25">
      <c r="A8" s="30">
        <v>0.076504</v>
      </c>
      <c r="B8" s="31">
        <v>-0.5438169914702409</v>
      </c>
      <c r="C8" s="31">
        <v>-0.5414474025417502</v>
      </c>
      <c r="D8" s="31">
        <v>-0.5390778136132598</v>
      </c>
      <c r="E8" s="31">
        <v>-0.5367082246847692</v>
      </c>
      <c r="F8" s="31">
        <v>-0.5343386357562787</v>
      </c>
    </row>
    <row r="9" spans="1:6" x14ac:dyDescent="0.25">
      <c r="A9" s="30">
        <v>0.086504</v>
      </c>
      <c r="B9" s="31">
        <v>-0.6216817386195125</v>
      </c>
      <c r="C9" s="31">
        <v>-0.6196714871077065</v>
      </c>
      <c r="D9" s="31">
        <v>-0.6176612355959006</v>
      </c>
      <c r="E9" s="31">
        <v>-0.6156509840840946</v>
      </c>
      <c r="F9" s="31">
        <v>-0.6136407325722888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2133000000</v>
      </c>
      <c r="C5" s="18">
        <v>2815000000</v>
      </c>
      <c r="D5" s="18">
        <v>2784000000</v>
      </c>
      <c r="E5" s="18">
        <v>2876000000</v>
      </c>
      <c r="F5" s="8" t="s">
        <v>84</v>
      </c>
    </row>
    <row r="6" spans="1:6" x14ac:dyDescent="0.25">
      <c r="A6" t="s">
        <v>44</v>
      </c>
      <c r="B6" s="18">
        <v>569000000</v>
      </c>
      <c r="C6" s="18">
        <v>778000000</v>
      </c>
      <c r="D6" s="18">
        <v>832000000</v>
      </c>
      <c r="E6" s="18">
        <v>515000000</v>
      </c>
      <c r="F6" s="8" t="s">
        <v>85</v>
      </c>
    </row>
    <row r="7" spans="1:6" x14ac:dyDescent="0.25">
      <c r="A7" t="s">
        <v>86</v>
      </c>
      <c r="B7" s="18">
        <v>131000000</v>
      </c>
      <c r="C7" s="18">
        <v>140000000</v>
      </c>
      <c r="D7" s="18">
        <v>142000000</v>
      </c>
      <c r="E7" s="18">
        <v>146000000</v>
      </c>
      <c r="F7" s="8" t="s">
        <v>87</v>
      </c>
    </row>
    <row r="8" spans="1:6" x14ac:dyDescent="0.25">
      <c r="A8" t="s">
        <v>88</v>
      </c>
      <c r="B8" s="18">
        <v>12000000</v>
      </c>
      <c r="C8" s="18">
        <v>285000000</v>
      </c>
      <c r="D8" s="18">
        <v>23000000</v>
      </c>
      <c r="E8" s="18">
        <v>126000000</v>
      </c>
      <c r="F8" s="8" t="s">
        <v>89</v>
      </c>
    </row>
    <row r="9" spans="1:6" x14ac:dyDescent="0.25">
      <c r="A9" t="s">
        <v>90</v>
      </c>
      <c r="B9" s="18">
        <v>121000000</v>
      </c>
      <c r="C9" s="18">
        <v>174000000</v>
      </c>
      <c r="D9" s="18">
        <v>190000000</v>
      </c>
      <c r="E9" s="18">
        <v>21000000</v>
      </c>
      <c r="F9" s="8" t="s">
        <v>91</v>
      </c>
    </row>
    <row r="10" spans="1:6" x14ac:dyDescent="0.25">
      <c r="A10" t="s">
        <v>92</v>
      </c>
      <c r="B10" s="18">
        <v>8462000000</v>
      </c>
      <c r="C10" s="18">
        <v>8020000000</v>
      </c>
      <c r="D10" s="18">
        <v>12716000000</v>
      </c>
      <c r="E10" s="18">
        <v>12660000000</v>
      </c>
      <c r="F10" s="8" t="s">
        <v>93</v>
      </c>
    </row>
    <row r="11" spans="1:6" x14ac:dyDescent="0.25">
      <c r="A11" t="s">
        <v>94</v>
      </c>
      <c r="B11" s="18">
        <v>2022000000</v>
      </c>
      <c r="C11" s="18">
        <v>2308000000</v>
      </c>
      <c r="D11" s="18">
        <v>2460000000</v>
      </c>
      <c r="E11" s="18">
        <v>2668000000</v>
      </c>
      <c r="F11" s="8" t="s">
        <v>95</v>
      </c>
    </row>
    <row r="12" spans="1:6" x14ac:dyDescent="0.25">
      <c r="A12" t="s">
        <v>32</v>
      </c>
      <c r="B12" s="34">
        <v>5051413000</v>
      </c>
      <c r="C12" s="34">
        <v>5087717000</v>
      </c>
      <c r="D12" s="34">
        <v>5179997000</v>
      </c>
      <c r="E12" s="34">
        <v>5207581000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