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<sst xmlns="http://schemas.openxmlformats.org/spreadsheetml/2006/main" count="112" uniqueCount="100">
  <si>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Agilent Technologies, Inc. (A)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</si>
  <si>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</si>
  <si>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</si>
  <si>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</si>
  <si>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</si>
  <si>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</si>
  <si>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</si>
  <si>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</si>
  <si>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</si>
  <si>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</si>
  <si>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</si>
  <si>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</si>
  <si>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</si>
  <si>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</si>
  <si>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</si>
  <si>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</si>
  <si>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</si>
  <si>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</si>
  <si>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</si>
  <si>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</si>
  <si>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</si>
  <si>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</si>
  <si>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</si>
  <si>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</si>
  <si>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</si>
  <si>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</si>
  <si>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</si>
  <si>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</si>
  <si>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</si>
  <si>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</si>
  <si>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</si>
  <si>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</si>
  <si>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</si>
  <si>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</si>
  <si>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</si>
  <si>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</si>
  <si>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</si>
  <si>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</si>
  <si>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</si>
  <si>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</si>
  <si>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</si>
  <si>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</si>
  <si>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</si>
  <si>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</si>
  <si>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</si>
  <si>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</si>
  <si>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</si>
  <si>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</si>
  <si>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</si>
  <si>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</si>
  <si>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</si>
  <si>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</si>
  <si>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</si>
  <si>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</si>
  <si>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</si>
  <si>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</si>
  <si>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</si>
  <si>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</si>
  <si>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</si>
  <si>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</si>
  <si>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</si>
  <si>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</si>
  <si>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</si>
  <si>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</si>
  <si>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</si>
  <si>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</si>
  <si>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</si>
  <si>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</si>
  <si>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</si>
  <si>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</si>
  <si>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</si>
  <si>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</si>
  <si>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</si>
  <si>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</si>
  <si>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</si>
  <si>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</si>
  <si>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</si>
  <si>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</si>
  <si>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</si>
  <si>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</si>
  <si>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</si>
  <si>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</si>
  <si>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</si>
  <si>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</si>
  <si>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</si>
  <si>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</si>
  <si>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</si>
  <si>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</si>
  <si>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</si>
  <si>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</si>
  <si>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</si>
  <si>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</si>
  <si>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</si>
  <si>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</si>
  <si>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</si>
  <si>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</si>
  <si>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</si>
  <si>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</si>
  <si>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25.9x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</si>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</sst>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0.004844098070605929</v>
      </c>
    </row>
    <row r="7" spans="1:2" x14ac:dyDescent="0.25">
      <c r="A7" t="s">
        <v>5</v>
      </c>
      <c r="B7" s="6">
        <v>0.21882060458696595</v>
      </c>
    </row>
    <row r="8" spans="1:2" x14ac:dyDescent="0.25">
      <c r="A8" t="s">
        <v>6</v>
      </c>
      <c r="B8" s="6">
        <v>0.1222586460860382</v>
      </c>
    </row>
    <row r="9" spans="1:2" x14ac:dyDescent="0.25">
      <c r="A9" t="s">
        <v>7</v>
      </c>
      <c r="B9" s="6">
        <v>0.04171996571738506</v>
      </c>
    </row>
    <row r="10" spans="1:2" x14ac:dyDescent="0.25">
      <c r="A10" t="s">
        <v>8</v>
      </c>
      <c r="B10" s="6">
        <v>0.050687141643480704</v>
      </c>
    </row>
    <row r="11" spans="1:2" x14ac:dyDescent="0.25">
      <c r="A11" t="s">
        <v>9</v>
      </c>
      <c r="B11" s="6">
        <v>0.25696594427244585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0.13936310947585884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1.16147</v>
      </c>
      <c r="C19" s="8" t="s">
        <v>19</v>
      </c>
    </row>
    <row r="20" spans="1:2" x14ac:dyDescent="0.25">
      <c r="A20" t="s">
        <v>20</v>
      </c>
      <c r="B20" s="10">
        <f>B17+B19*B18</f>
        <v>0.11386085000000001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44119191552</v>
      </c>
    </row>
    <row r="23" spans="1:2" x14ac:dyDescent="0.25">
      <c r="A23" t="s">
        <v>24</v>
      </c>
      <c r="B23" s="11">
        <v>3354000000</v>
      </c>
    </row>
    <row r="24" spans="1:2" x14ac:dyDescent="0.25">
      <c r="A24" t="s">
        <v>25</v>
      </c>
      <c r="B24" s="10">
        <f>B22/(B22+B23)</f>
        <v>0.9293495994191547</v>
      </c>
    </row>
    <row r="25" spans="1:2" x14ac:dyDescent="0.25">
      <c r="A25" t="s">
        <v>26</v>
      </c>
      <c r="B25" s="10">
        <f>1-B24</f>
        <v>0.07065040058084526</v>
      </c>
    </row>
    <row r="26" spans="1:2" x14ac:dyDescent="0.25">
      <c r="A26" t="s">
        <v>27</v>
      </c>
      <c r="B26" s="12">
        <f>B24*B20+B25*B21*(1-B8)</f>
        <v>0.10891593399447902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6948000000</v>
      </c>
      <c r="C29" s="8" t="s">
        <v>30</v>
      </c>
    </row>
    <row r="30" spans="1:2" x14ac:dyDescent="0.25">
      <c r="A30" t="s">
        <v>31</v>
      </c>
      <c r="B30" s="11">
        <v>1565000000</v>
      </c>
    </row>
    <row r="31" spans="1:2" x14ac:dyDescent="0.25">
      <c r="A31" t="s">
        <v>32</v>
      </c>
      <c r="B31" s="13">
        <v>285000000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0.004844098070605929</v>
      </c>
      <c r="C5" s="10">
        <f>Assumptions!B6</f>
        <v>0.004844098070605929</v>
      </c>
      <c r="D5" s="10">
        <f>Assumptions!B6</f>
        <v>0.004844098070605929</v>
      </c>
      <c r="E5" s="10">
        <f>Assumptions!B6</f>
        <v>0.004844098070605929</v>
      </c>
      <c r="F5" s="10">
        <f>Assumptions!B6</f>
        <v>0.004844098070605929</v>
      </c>
    </row>
    <row r="6" spans="1:6" x14ac:dyDescent="0.25">
      <c r="A6" t="s">
        <v>43</v>
      </c>
      <c r="B6" s="18">
        <f>Assumptions!B29*(1+B5)</f>
        <v>6981656793.39457</v>
      </c>
      <c r="C6" s="18">
        <f>B6*(1+C5)</f>
        <v>7015476623.597086</v>
      </c>
      <c r="D6" s="18">
        <f>C6*(1+D5)</f>
        <v>7049460280.373834</v>
      </c>
      <c r="E6" s="18">
        <f>D6*(1+E5)</f>
        <v>7083608557.316806</v>
      </c>
      <c r="F6" s="18">
        <f>E6*(1+F5)</f>
        <v>7117922251.862232</v>
      </c>
    </row>
    <row r="7" spans="1:6" x14ac:dyDescent="0.25">
      <c r="A7" t="s">
        <v>5</v>
      </c>
      <c r="B7" s="10">
        <f>Assumptions!B7</f>
        <v>0.21882060458696595</v>
      </c>
      <c r="C7" s="10">
        <f>Assumptions!B7</f>
        <v>0.21882060458696595</v>
      </c>
      <c r="D7" s="10">
        <f>Assumptions!B7</f>
        <v>0.21882060458696595</v>
      </c>
      <c r="E7" s="10">
        <f>Assumptions!B7</f>
        <v>0.21882060458696595</v>
      </c>
      <c r="F7" s="10">
        <f>Assumptions!B7</f>
        <v>0.21882060458696595</v>
      </c>
    </row>
    <row r="8" spans="1:6" x14ac:dyDescent="0.25">
      <c r="A8" t="s">
        <v>44</v>
      </c>
      <c r="B8" s="18">
        <f>B6*B7</f>
        <v>1527730360.5492978</v>
      </c>
      <c r="C8" s="18">
        <f>C6*C7</f>
        <v>1535130836.241241</v>
      </c>
      <c r="D8" s="18">
        <f>D6*D7</f>
        <v>1542567160.5632048</v>
      </c>
      <c r="E8" s="18">
        <f>E6*E7</f>
        <v>1550039507.169469</v>
      </c>
      <c r="F8" s="18">
        <f>F6*F7</f>
        <v>1557548050.5555117</v>
      </c>
    </row>
    <row r="9" spans="1:6" x14ac:dyDescent="0.25">
      <c r="A9" t="s">
        <v>45</v>
      </c>
      <c r="B9" s="18">
        <f>B8*(1-Assumptions!B8)</f>
        <v>1340952115.0840056</v>
      </c>
      <c r="C9" s="18">
        <f>C8*(1-Assumptions!B8)</f>
        <v>1347447818.6374593</v>
      </c>
      <c r="D9" s="18">
        <f>D8*(1-Assumptions!B8)</f>
        <v>1353974988.015963</v>
      </c>
      <c r="E9" s="18">
        <f>E8*(1-Assumptions!B8)</f>
        <v>1360533775.64306</v>
      </c>
      <c r="F9" s="18">
        <f>F8*(1-Assumptions!B8)</f>
        <v>1367124334.6806467</v>
      </c>
    </row>
    <row r="10" spans="1:6" x14ac:dyDescent="0.25">
      <c r="A10" t="s">
        <v>46</v>
      </c>
      <c r="B10" s="18">
        <f>B6*Assumptions!B9</f>
        <v>291274482.07097</v>
      </c>
      <c r="C10" s="18">
        <f>C6*Assumptions!B9</f>
        <v>292685444.2275867</v>
      </c>
      <c r="D10" s="18">
        <f>D6*Assumptions!B9</f>
        <v>294103241.223264</v>
      </c>
      <c r="E10" s="18">
        <f>E6*Assumptions!B9</f>
        <v>295527906.1666326</v>
      </c>
      <c r="F10" s="18">
        <f>F6*Assumptions!B9</f>
        <v>296959472.32670456</v>
      </c>
    </row>
    <row r="11" spans="1:6" x14ac:dyDescent="0.25">
      <c r="A11" t="s">
        <v>47</v>
      </c>
      <c r="B11" s="18">
        <f>-B6*Assumptions!B10</f>
        <v>-353880226.79295987</v>
      </c>
      <c r="C11" s="18">
        <f>-C6*Assumptions!B10</f>
        <v>-355594457.31679326</v>
      </c>
      <c r="D11" s="18">
        <f>-D6*Assumptions!B10</f>
        <v>-357316991.7413997</v>
      </c>
      <c r="E11" s="18">
        <f>-E6*Assumptions!B10</f>
        <v>-359047870.2916889</v>
      </c>
      <c r="F11" s="18">
        <f>-F6*Assumptions!B10</f>
        <v>-360787133.3874241</v>
      </c>
    </row>
    <row r="12" spans="1:6" x14ac:dyDescent="0.25">
      <c r="A12" t="s">
        <v>48</v>
      </c>
      <c r="B12" s="18">
        <f>-(B6-Assumptions!B29)*Assumptions!B11</f>
        <v>-8648649.695818389</v>
      </c>
      <c r="C12" s="18">
        <f>-(C6-B6)*Assumptions!B11</f>
        <v>-8690544.603123205</v>
      </c>
      <c r="D12" s="18">
        <f>-(D6-C6)*Assumptions!B11</f>
        <v>-8732642.453467676</v>
      </c>
      <c r="E12" s="18">
        <f>-(E6-D6)*Assumptions!B11</f>
        <v>-8774944.229927838</v>
      </c>
      <c r="F12" s="18">
        <f>-(F6-E6)*Assumptions!B11</f>
        <v>-8817450.920341762</v>
      </c>
    </row>
    <row r="13" spans="1:6" x14ac:dyDescent="0.25">
      <c r="A13" s="19" t="s">
        <v>49</v>
      </c>
      <c r="B13" s="20">
        <f>B9+B10+B11+B12</f>
        <v>1269697720.6661973</v>
      </c>
      <c r="C13" s="20">
        <f>C9+C10+C11+C12</f>
        <v>1275848260.9451296</v>
      </c>
      <c r="D13" s="20">
        <f>D9+D10+D11+D12</f>
        <v>1282028595.0443597</v>
      </c>
      <c r="E13" s="20">
        <f>E9+E10+E11+E12</f>
        <v>1288238867.288076</v>
      </c>
      <c r="F13" s="20">
        <f>F9+F10+F11+F12</f>
        <v>1294479222.6995852</v>
      </c>
    </row>
    <row r="14" spans="1:6" x14ac:dyDescent="0.25">
      <c r="A14" t="s">
        <v>50</v>
      </c>
      <c r="B14" s="21">
        <f>1/(1+Assumptions!$B$26)^(1-0.5*Assumptions!$B$32)</f>
        <v>0.949621826479149</v>
      </c>
      <c r="C14" s="21">
        <f>1/(1+Assumptions!$B$26)^(2-0.5*Assumptions!$B$32)</f>
        <v>0.8563515027315649</v>
      </c>
      <c r="D14" s="21">
        <f>1/(1+Assumptions!$B$26)^(3-0.5*Assumptions!$B$32)</f>
        <v>0.7722420397070681</v>
      </c>
      <c r="E14" s="21">
        <f>1/(1+Assumptions!$B$26)^(4-0.5*Assumptions!$B$32)</f>
        <v>0.6963936724448879</v>
      </c>
      <c r="F14" s="21">
        <f>1/(1+Assumptions!$B$26)^(5-0.5*Assumptions!$B$32)</f>
        <v>0.6279950094470867</v>
      </c>
    </row>
    <row r="15" spans="1:6" x14ac:dyDescent="0.25">
      <c r="A15" s="19" t="s">
        <v>51</v>
      </c>
      <c r="B15" s="20">
        <f>B13*B14</f>
        <v>1205732668.5754466</v>
      </c>
      <c r="C15" s="20">
        <f>C13*C14</f>
        <v>1092574575.5178156</v>
      </c>
      <c r="D15" s="20">
        <f>D13*D14</f>
        <v>990036377.199843</v>
      </c>
      <c r="E15" s="20">
        <f>E13*E14</f>
        <v>897121395.7769858</v>
      </c>
      <c r="F15" s="20">
        <f>F13*F14</f>
        <v>812926491.6882836</v>
      </c>
    </row>
    <row r="17" spans="1:2" x14ac:dyDescent="0.25">
      <c r="A17" s="22" t="s">
        <v>52</v>
      </c>
      <c r="B17" s="23">
        <f>SUM(B15:F15)</f>
        <v>4998391508.758374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1294479222.6995852</v>
      </c>
    </row>
    <row r="5" spans="1:2" x14ac:dyDescent="0.25">
      <c r="A5" t="s">
        <v>56</v>
      </c>
      <c r="B5" s="18">
        <f>IF(Assumptions!$B$33=0,B4,B4-Forecast!F11-Forecast!F10-Forecast!F12)</f>
        <v>1367124334.6806467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0.17938750142720247</v>
      </c>
    </row>
    <row r="7" spans="1:2" x14ac:dyDescent="0.25">
      <c r="A7" t="s">
        <v>58</v>
      </c>
      <c r="B7" s="18">
        <f>-MAX(Forecast!F9,0)*B6</f>
        <v>-245245018.53868774</v>
      </c>
    </row>
    <row r="8" spans="1:2" x14ac:dyDescent="0.25">
      <c r="A8" t="s">
        <v>59</v>
      </c>
      <c r="B8" s="18">
        <f>IF(OR(Assumptions!$B$33=0,Assumptions!B12&lt;=0),B5,MAX(B5+B7,0))</f>
        <v>1121879316.141959</v>
      </c>
    </row>
    <row r="9" spans="1:2" x14ac:dyDescent="0.25">
      <c r="A9" t="s">
        <v>60</v>
      </c>
      <c r="B9" s="18">
        <f>B8*(1+Assumptions!B12)/(Assumptions!B26-Assumptions!B12)</f>
        <v>13703312878.82899</v>
      </c>
    </row>
    <row r="10" spans="1:2" x14ac:dyDescent="0.25">
      <c r="A10" t="s">
        <v>61</v>
      </c>
      <c r="B10" s="18">
        <f>B9/(1+Assumptions!B26)^(5-0.5*Assumptions!B32)</f>
        <v>8605612100.796598</v>
      </c>
    </row>
    <row r="11" spans="1:2" x14ac:dyDescent="0.25">
      <c r="A11" t="s">
        <v>62</v>
      </c>
      <c r="B11" s="18">
        <f>Forecast!B17+B10</f>
        <v>13604003609.554974</v>
      </c>
    </row>
    <row r="12" spans="1:2" x14ac:dyDescent="0.25">
      <c r="A12" t="s">
        <v>63</v>
      </c>
      <c r="B12" s="18">
        <f>-Assumptions!B30</f>
        <v>-1565000000</v>
      </c>
    </row>
    <row r="13" spans="1:2" x14ac:dyDescent="0.25">
      <c r="A13" t="s">
        <v>64</v>
      </c>
      <c r="B13" s="18">
        <f>B11+B12</f>
        <v>12039003609.554974</v>
      </c>
    </row>
    <row r="14" spans="1:2" x14ac:dyDescent="0.25">
      <c r="A14" s="19" t="s">
        <v>65</v>
      </c>
      <c r="B14" s="24">
        <f>B13/Assumptions!B31</f>
        <v>42.24211792826306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1854507522.8822162</v>
      </c>
    </row>
    <row r="18" spans="1:2" x14ac:dyDescent="0.25">
      <c r="A18" t="s">
        <v>60</v>
      </c>
      <c r="B18" s="18">
        <f>B17*Assumptions!B13</f>
        <v>37090150457.644325</v>
      </c>
    </row>
    <row r="19" spans="1:2" x14ac:dyDescent="0.25">
      <c r="A19" t="s">
        <v>61</v>
      </c>
      <c r="B19" s="18">
        <f>B18/(1+Assumptions!B26)^(5-0.5*Assumptions!B32)</f>
        <v>23292429387.042217</v>
      </c>
    </row>
    <row r="20" spans="1:2" x14ac:dyDescent="0.25">
      <c r="A20" t="s">
        <v>62</v>
      </c>
      <c r="B20" s="18">
        <f>Forecast!B17+B19</f>
        <v>28290820895.80059</v>
      </c>
    </row>
    <row r="21" spans="1:2" x14ac:dyDescent="0.25">
      <c r="A21" t="s">
        <v>63</v>
      </c>
      <c r="B21" s="18">
        <f>-Assumptions!B30</f>
        <v>-1565000000</v>
      </c>
    </row>
    <row r="22" spans="1:2" x14ac:dyDescent="0.25">
      <c r="A22" t="s">
        <v>64</v>
      </c>
      <c r="B22" s="18">
        <f>B20+B21</f>
        <v>26725820895.80059</v>
      </c>
    </row>
    <row r="23" spans="1:2" x14ac:dyDescent="0.25">
      <c r="A23" s="19" t="s">
        <v>65</v>
      </c>
      <c r="B23" s="25">
        <f>B22/Assumptions!B31</f>
        <v>93.77481016070382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156.47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42.24211792826306</v>
      </c>
    </row>
    <row r="29" spans="1:2" x14ac:dyDescent="0.25">
      <c r="A29" s="19" t="s">
        <v>73</v>
      </c>
      <c r="B29" s="12">
        <f>B28/B26-1</f>
        <v>-0.7300305622275001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0.088916</v>
      </c>
      <c r="B5" s="31">
        <v>52.86846453570289</v>
      </c>
      <c r="C5" s="31">
        <v>54.25074535572429</v>
      </c>
      <c r="D5" s="31">
        <v>55.83093865674634</v>
      </c>
      <c r="E5" s="31">
        <v>57.6594329107463</v>
      </c>
      <c r="F5" s="31">
        <v>59.80530806235405</v>
      </c>
    </row>
    <row r="6" spans="1:6" x14ac:dyDescent="0.25">
      <c r="A6" s="30">
        <v>0.098916</v>
      </c>
      <c r="B6" s="31">
        <v>46.286158378242156</v>
      </c>
      <c r="C6" s="31">
        <v>47.15432600588662</v>
      </c>
      <c r="D6" s="31">
        <v>48.12471667235852</v>
      </c>
      <c r="E6" s="31">
        <v>49.21957986373382</v>
      </c>
      <c r="F6" s="31">
        <v>50.4681271682463</v>
      </c>
    </row>
    <row r="7" spans="1:6" x14ac:dyDescent="0.25">
      <c r="A7" s="30">
        <v>0.108916</v>
      </c>
      <c r="B7" s="31">
        <v>41.09988134869817</v>
      </c>
      <c r="C7" s="31">
        <v>41.64494546247086</v>
      </c>
      <c r="D7" s="32">
        <v>42.24208368507623</v>
      </c>
      <c r="E7" s="31">
        <v>42.90119403000318</v>
      </c>
      <c r="F7" s="31">
        <v>43.63485268961636</v>
      </c>
    </row>
    <row r="8" spans="1:6" x14ac:dyDescent="0.25">
      <c r="A8" s="30">
        <v>0.118916</v>
      </c>
      <c r="B8" s="31">
        <v>36.90685004206437</v>
      </c>
      <c r="C8" s="31">
        <v>37.24168450939351</v>
      </c>
      <c r="D8" s="31">
        <v>37.60111911248613</v>
      </c>
      <c r="E8" s="31">
        <v>37.98930385850016</v>
      </c>
      <c r="F8" s="31">
        <v>38.41137784062185</v>
      </c>
    </row>
    <row r="9" spans="1:6" x14ac:dyDescent="0.25">
      <c r="A9" s="30">
        <v>0.128916</v>
      </c>
      <c r="B9" s="31">
        <v>33.44569919772865</v>
      </c>
      <c r="C9" s="31">
        <v>33.64022096571776</v>
      </c>
      <c r="D9" s="31">
        <v>33.84386508821615</v>
      </c>
      <c r="E9" s="31">
        <v>34.058014913899854</v>
      </c>
      <c r="F9" s="31">
        <v>34.284348384203554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6948000000</v>
      </c>
      <c r="C5" s="18">
        <v>6510000000</v>
      </c>
      <c r="D5" s="18">
        <v>6833000000</v>
      </c>
      <c r="E5" s="18">
        <v>6848000000</v>
      </c>
      <c r="F5" s="8" t="s">
        <v>84</v>
      </c>
    </row>
    <row r="6" spans="1:6" x14ac:dyDescent="0.25">
      <c r="A6" t="s">
        <v>44</v>
      </c>
      <c r="B6" s="18">
        <v>1479000000</v>
      </c>
      <c r="C6" s="18">
        <v>1488000000</v>
      </c>
      <c r="D6" s="18">
        <v>1350000000</v>
      </c>
      <c r="E6" s="18">
        <v>1618000000</v>
      </c>
      <c r="F6" s="8" t="s">
        <v>85</v>
      </c>
    </row>
    <row r="7" spans="1:6" x14ac:dyDescent="0.25">
      <c r="A7" t="s">
        <v>86</v>
      </c>
      <c r="B7" s="18">
        <v>288000000</v>
      </c>
      <c r="C7" s="18">
        <v>257000000</v>
      </c>
      <c r="D7" s="18">
        <v>271000000</v>
      </c>
      <c r="E7" s="18">
        <v>317000000</v>
      </c>
      <c r="F7" s="8" t="s">
        <v>87</v>
      </c>
    </row>
    <row r="8" spans="1:6" x14ac:dyDescent="0.25">
      <c r="A8" t="s">
        <v>88</v>
      </c>
      <c r="B8" s="18">
        <v>407000000</v>
      </c>
      <c r="C8" s="18">
        <v>378000000</v>
      </c>
      <c r="D8" s="18">
        <v>298000000</v>
      </c>
      <c r="E8" s="18">
        <v>291000000</v>
      </c>
      <c r="F8" s="8" t="s">
        <v>89</v>
      </c>
    </row>
    <row r="9" spans="1:6" x14ac:dyDescent="0.25">
      <c r="A9" t="s">
        <v>90</v>
      </c>
      <c r="B9" s="18">
        <v>131000000</v>
      </c>
      <c r="C9" s="18">
        <v>-83000000</v>
      </c>
      <c r="D9" s="18">
        <v>116000000</v>
      </c>
      <c r="E9" s="18">
        <v>478000000</v>
      </c>
      <c r="F9" s="8" t="s">
        <v>91</v>
      </c>
    </row>
    <row r="10" spans="1:6" x14ac:dyDescent="0.25">
      <c r="A10" t="s">
        <v>92</v>
      </c>
      <c r="B10" s="18">
        <v>3354000000</v>
      </c>
      <c r="C10" s="18">
        <v>3390000000</v>
      </c>
      <c r="D10" s="18">
        <v>2735000000</v>
      </c>
      <c r="E10" s="18">
        <v>2769000000</v>
      </c>
      <c r="F10" s="8" t="s">
        <v>93</v>
      </c>
    </row>
    <row r="11" spans="1:6" x14ac:dyDescent="0.25">
      <c r="A11" t="s">
        <v>94</v>
      </c>
      <c r="B11" s="18">
        <v>1789000000</v>
      </c>
      <c r="C11" s="18">
        <v>1329000000</v>
      </c>
      <c r="D11" s="18">
        <v>1590000000</v>
      </c>
      <c r="E11" s="18">
        <v>1053000000</v>
      </c>
      <c r="F11" s="8" t="s">
        <v>95</v>
      </c>
    </row>
    <row r="12" spans="1:6" x14ac:dyDescent="0.25">
      <c r="A12" t="s">
        <v>32</v>
      </c>
      <c r="B12" s="34">
        <v>285000000</v>
      </c>
      <c r="C12" s="34">
        <v>291000000</v>
      </c>
      <c r="D12" s="34">
        <v>296000000</v>
      </c>
      <c r="E12" s="34">
        <v>300000000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2026-09-19T00:06:43Z</dcterms:modified>
</cp:coreProperties>
</file>