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<sst xmlns="http://schemas.openxmlformats.org/spreadsheetml/2006/main" count="120" uniqueCount="107">
  <si>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Agilent Technologies, Inc. (A)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</si>
  <si>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</si>
  <si>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</si>
  <si>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</si>
  <si>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</si>
  <si>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</si>
  <si>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</si>
  <si>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</si>
  <si>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</si>
  <si>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</si>
  <si>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</si>
  <si>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</si>
  <si>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</si>
  <si>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</si>
  <si>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</si>
  <si>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</si>
  <si>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</si>
  <si>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</si>
  <si>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</si>
  <si>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</si>
  <si>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</si>
  <si>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</si>
  <si>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</si>
  <si>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</si>
  <si>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13.2x interest cover. Book interest / average debt was lower, at 3.3%.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</si>
  <si>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</si>
  <si>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</si>
  <si>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</si>
  <si>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</si>
  <si>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</si>
  <si>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</si>
  <si>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</si>
  <si>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2025-10-31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</si>
  <si>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</si>
  <si>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</si>
  <si>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</si>
  <si>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</si>
  <si>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</si>
  <si>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</si>
  <si>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</si>
  <si>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</si>
  <si>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</si>
  <si>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</si>
  <si>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</si>
  <si>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</si>
  <si>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</si>
  <si>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</si>
  <si>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</si>
  <si>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</si>
  <si>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</si>
  <si>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</si>
  <si>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</si>
  <si>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</si>
  <si>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</si>
  <si>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</si>
  <si>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</si>
  <si>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</si>
  <si>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</si>
  <si>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</si>
  <si>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</si>
  <si>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</si>
  <si>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</si>
  <si>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</si>
  <si>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</si>
  <si>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</si>
  <si>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</si>
  <si>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</si>
  <si>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</si>
  <si>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</si>
  <si>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</si>
  <si>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</si>
  <si>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</si>
  <si>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</si>
  <si>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</si>
  <si>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</si>
  <si>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</si>
  <si>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</si>
  <si>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</si>
  <si>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</si>
  <si>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</si>
  <si>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</si>
  <si>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</si>
  <si>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</si>
  <si>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</si>
  <si>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</si>
  <si>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</si>
  <si>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2025-10-31</t>
  </si>
  <si>
    <t>2024-10-31</t>
  </si>
  <si>
    <t>2023-10-31</t>
  </si>
  <si>
    <t>2022-10-31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</si>
  <si>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</si>
  <si>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</si>
  <si>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</si>
  <si>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</si>
  <si>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</si>
  <si>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</si>
  <si>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</si>
  <si>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</si>
  <si>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</si>
  <si>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</si>
  <si>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</si>
  <si>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</si>
  <si>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</si>
  <si>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</si>
  <si>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</si>
  <si>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28.8x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</si>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</sst>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0.07942884715025911</v>
      </c>
    </row>
    <row r="7" spans="1:2" x14ac:dyDescent="0.25">
      <c r="A7" t="s">
        <v>4</v>
      </c>
      <c r="B7" s="5">
        <v>0.21882060458696595</v>
      </c>
    </row>
    <row r="8" spans="1:2" x14ac:dyDescent="0.25">
      <c r="A8" t="s">
        <v>5</v>
      </c>
      <c r="B8" s="5">
        <v>0.1222586460860382</v>
      </c>
    </row>
    <row r="9" spans="1:2" x14ac:dyDescent="0.25">
      <c r="A9" t="s">
        <v>6</v>
      </c>
      <c r="B9" s="5">
        <v>0.04171996571738506</v>
      </c>
    </row>
    <row r="10" spans="1:3" x14ac:dyDescent="0.25">
      <c r="A10" t="s">
        <v>7</v>
      </c>
      <c r="B10" s="5">
        <v>0.050687141643480704</v>
      </c>
      <c r="C10" s="6" t="s">
        <v>8</v>
      </c>
    </row>
    <row r="11" spans="1:2" x14ac:dyDescent="0.25">
      <c r="A11" t="s">
        <v>9</v>
      </c>
      <c r="B11" s="5">
        <v>0.27534898627947657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0.13936310947585884</v>
      </c>
      <c r="C14" s="6" t="s">
        <v>13</v>
      </c>
    </row>
    <row r="15" spans="1:3" x14ac:dyDescent="0.25">
      <c r="A15" t="s">
        <v>14</v>
      </c>
      <c r="B15" s="5">
        <v>0.04171996571738506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1.13936</v>
      </c>
      <c r="C19" s="6" t="s">
        <v>21</v>
      </c>
    </row>
    <row r="20" spans="1:2" x14ac:dyDescent="0.25">
      <c r="A20" t="s">
        <v>22</v>
      </c>
      <c r="B20" s="9">
        <f>B17+B19*B18</f>
        <v>0.097134928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49307361280</v>
      </c>
    </row>
    <row r="23" spans="1:2" x14ac:dyDescent="0.25">
      <c r="A23" t="s">
        <v>26</v>
      </c>
      <c r="B23" s="10">
        <v>3354000000</v>
      </c>
    </row>
    <row r="24" spans="1:2" x14ac:dyDescent="0.25">
      <c r="A24" t="s">
        <v>27</v>
      </c>
      <c r="B24" s="9">
        <f>B22/(B22+B23)</f>
        <v>0.9363100398759764</v>
      </c>
    </row>
    <row r="25" spans="1:2" x14ac:dyDescent="0.25">
      <c r="A25" t="s">
        <v>28</v>
      </c>
      <c r="B25" s="9">
        <f>1-B24</f>
        <v>0.06368996012402361</v>
      </c>
    </row>
    <row r="26" spans="1:2" x14ac:dyDescent="0.25">
      <c r="A26" t="s">
        <v>29</v>
      </c>
      <c r="B26" s="11">
        <f>B24*B20+B25*B21*(1-B8)</f>
        <v>0.09390792963730958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6948000000</v>
      </c>
      <c r="C29" s="6" t="s">
        <v>32</v>
      </c>
    </row>
    <row r="30" spans="1:2" x14ac:dyDescent="0.25">
      <c r="A30" t="s">
        <v>33</v>
      </c>
      <c r="B30" s="10">
        <v>1565000000</v>
      </c>
    </row>
    <row r="31" spans="1:2" x14ac:dyDescent="0.25">
      <c r="A31" t="s">
        <v>34</v>
      </c>
      <c r="B31" s="12">
        <v>285000000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0.07942884715025911</v>
      </c>
      <c r="C5" s="5">
        <v>0.06419723213315853</v>
      </c>
      <c r="D5" s="5">
        <v>0.05929757811651372</v>
      </c>
      <c r="E5" s="5">
        <v>0.0543979240998689</v>
      </c>
      <c r="F5" s="5">
        <v>0.049498270083224084</v>
      </c>
      <c r="G5" s="5">
        <v>0.044598616066579264</v>
      </c>
      <c r="H5" s="5">
        <v>0.03969896204993445</v>
      </c>
      <c r="I5" s="5">
        <v>0.034799308033289636</v>
      </c>
      <c r="J5" s="5">
        <v>0.029899654016644815</v>
      </c>
      <c r="K5" s="5">
        <v>0.025</v>
      </c>
    </row>
    <row r="6" spans="1:11" x14ac:dyDescent="0.25">
      <c r="A6" t="s">
        <v>50</v>
      </c>
      <c r="B6" s="18">
        <f>Assumptions!B29*(1+B5)</f>
        <v>7499871630</v>
      </c>
      <c r="C6" s="18">
        <f>B6*(1+C5)</f>
        <v>7981342630</v>
      </c>
      <c r="D6" s="18">
        <f>C6*(1+D5)</f>
        <v>8454616918.0770855</v>
      </c>
      <c r="E6" s="18">
        <f>D6*(1+E5)</f>
        <v>8914530527.48011</v>
      </c>
      <c r="F6" s="18">
        <f>E6*(1+F5)</f>
        <v>9355784367.194466</v>
      </c>
      <c r="G6" s="18">
        <f>F6*(1+G5)</f>
        <v>9773039402.188675</v>
      </c>
      <c r="H6" s="18">
        <f>G6*(1+H5)</f>
        <v>10161018922.528677</v>
      </c>
      <c r="I6" s="18">
        <f>H6*(1+I5)</f>
        <v>10514615349.945837</v>
      </c>
      <c r="J6" s="18">
        <f>I6*(1+J5)</f>
        <v>10828998711.027319</v>
      </c>
      <c r="K6" s="18">
        <f>J6*(1+K5)</f>
        <v>11099723678.803001</v>
      </c>
    </row>
    <row r="7" spans="1:11" x14ac:dyDescent="0.25">
      <c r="A7" t="s">
        <v>4</v>
      </c>
      <c r="B7" s="9">
        <f>Assumptions!B7</f>
        <v>0.21882060458696595</v>
      </c>
      <c r="C7" s="9">
        <f>Assumptions!B7</f>
        <v>0.21882060458696595</v>
      </c>
      <c r="D7" s="9">
        <f>Assumptions!B7</f>
        <v>0.21882060458696595</v>
      </c>
      <c r="E7" s="9">
        <f>Assumptions!B7</f>
        <v>0.21882060458696595</v>
      </c>
      <c r="F7" s="9">
        <f>Assumptions!B7</f>
        <v>0.21882060458696595</v>
      </c>
      <c r="G7" s="9">
        <f>Assumptions!B7</f>
        <v>0.21882060458696595</v>
      </c>
      <c r="H7" s="9">
        <f>Assumptions!B7</f>
        <v>0.21882060458696595</v>
      </c>
      <c r="I7" s="9">
        <f>Assumptions!B7</f>
        <v>0.21882060458696595</v>
      </c>
      <c r="J7" s="9">
        <f>Assumptions!B7</f>
        <v>0.21882060458696595</v>
      </c>
      <c r="K7" s="9">
        <f>Assumptions!B7</f>
        <v>0.21882060458696595</v>
      </c>
    </row>
    <row r="8" spans="1:11" x14ac:dyDescent="0.25">
      <c r="A8" t="s">
        <v>51</v>
      </c>
      <c r="B8" s="18">
        <f>B6*B7</f>
        <v>1641126444.401234</v>
      </c>
      <c r="C8" s="18">
        <f>C6*C7</f>
        <v>1746482219.7123249</v>
      </c>
      <c r="D8" s="18">
        <f>D6*D7</f>
        <v>1850044385.5648186</v>
      </c>
      <c r="E8" s="18">
        <f>E6*E7</f>
        <v>1950682959.632162</v>
      </c>
      <c r="F8" s="18">
        <f>F6*F7</f>
        <v>2047238391.6147776</v>
      </c>
      <c r="G8" s="18">
        <f>G6*G7</f>
        <v>2138542390.639166</v>
      </c>
      <c r="H8" s="18">
        <f>H6*H7</f>
        <v>2223440303.8473263</v>
      </c>
      <c r="I8" s="18">
        <f>I6*I7</f>
        <v>2300814487.874541</v>
      </c>
      <c r="J8" s="18">
        <f>J6*J7</f>
        <v>2369608045.0184727</v>
      </c>
      <c r="K8" s="18">
        <f>K6*K7</f>
        <v>2428848246.1439347</v>
      </c>
    </row>
    <row r="9" spans="1:11" x14ac:dyDescent="0.25">
      <c r="A9" t="s">
        <v>52</v>
      </c>
      <c r="B9" s="18">
        <f>B8*(1-Assumptions!B8)</f>
        <v>1440484547.2527452</v>
      </c>
      <c r="C9" s="18">
        <f>C8*(1-Assumptions!B8)</f>
        <v>1532959668.1169574</v>
      </c>
      <c r="D9" s="18">
        <f>D8*(1-Assumptions!B8)</f>
        <v>1623860463.7865875</v>
      </c>
      <c r="E9" s="18">
        <f>E8*(1-Assumptions!B8)</f>
        <v>1712195102.044428</v>
      </c>
      <c r="F9" s="18">
        <f>F8*(1-Assumptions!B8)</f>
        <v>1796945797.6405964</v>
      </c>
      <c r="G9" s="18">
        <f>G8*(1-Assumptions!B8)</f>
        <v>1877087093.3620222</v>
      </c>
      <c r="H9" s="18">
        <f>H8*(1-Assumptions!B8)</f>
        <v>1951605502.6458228</v>
      </c>
      <c r="I9" s="18">
        <f>I8*(1-Assumptions!B8)</f>
        <v>2019520023.691858</v>
      </c>
      <c r="J9" s="18">
        <f>J8*(1-Assumptions!B8)</f>
        <v>2079902973.6799304</v>
      </c>
      <c r="K9" s="18">
        <f>K8*(1-Assumptions!B8)</f>
        <v>2131900548.0219288</v>
      </c>
    </row>
    <row r="10" spans="1:11" x14ac:dyDescent="0.25">
      <c r="A10" t="s">
        <v>53</v>
      </c>
      <c r="B10" s="18">
        <f>B6*Assumptions!B9</f>
        <v>312894387.2883888</v>
      </c>
      <c r="C10" s="18">
        <f>C6*Assumptions!B9</f>
        <v>332981340.9023039</v>
      </c>
      <c r="D10" s="18">
        <f>D6*Assumptions!B9</f>
        <v>352726327.97579974</v>
      </c>
      <c r="E10" s="18">
        <f>E6*Assumptions!B9</f>
        <v>371913907.9930527</v>
      </c>
      <c r="F10" s="18">
        <f>F6*Assumptions!B9</f>
        <v>390323003.0586002</v>
      </c>
      <c r="G10" s="18">
        <f>G6*Assumptions!B9</f>
        <v>407730868.8139649</v>
      </c>
      <c r="H10" s="18">
        <f>H6*Assumptions!B9</f>
        <v>423917361.10159725</v>
      </c>
      <c r="I10" s="18">
        <f>I6*Assumptions!B9</f>
        <v>438669391.931231</v>
      </c>
      <c r="J10" s="18">
        <f>J6*Assumptions!B9</f>
        <v>451785454.97766674</v>
      </c>
      <c r="K10" s="18">
        <f>K6*Assumptions!B9</f>
        <v>463080091.35210836</v>
      </c>
    </row>
    <row r="11" spans="1:11" x14ac:dyDescent="0.25">
      <c r="A11" t="s">
        <v>54</v>
      </c>
      <c r="B11" s="18">
        <f>-B6*B19</f>
        <v>-380147055.6177325</v>
      </c>
      <c r="C11" s="18">
        <f>-C6*C19</f>
        <v>-427154077.8544628</v>
      </c>
      <c r="D11" s="18">
        <f>-D6*D19</f>
        <v>-476426195.03970873</v>
      </c>
      <c r="E11" s="18">
        <f>-E6*E19</f>
        <v>-527588150.7892436</v>
      </c>
      <c r="F11" s="18">
        <f>-F6*F19</f>
        <v>-580197812.957675</v>
      </c>
      <c r="G11" s="18">
        <f>-G6*G19</f>
        <v>-633750432.4590402</v>
      </c>
      <c r="H11" s="18">
        <f>-H6*H19</f>
        <v>-687684999.1179736</v>
      </c>
      <c r="I11" s="18">
        <f>-I6*I19</f>
        <v>-741392655.175941</v>
      </c>
      <c r="J11" s="18">
        <f>-J6*J19</f>
        <v>-794227045.8466506</v>
      </c>
      <c r="K11" s="18">
        <f>-K6*K19</f>
        <v>-845516403.9530458</v>
      </c>
    </row>
    <row r="12" spans="1:11" x14ac:dyDescent="0.25">
      <c r="A12" t="s">
        <v>55</v>
      </c>
      <c r="B12" s="18">
        <f>-(B6-Assumptions!B29)*Assumptions!B11</f>
        <v>-151957293.87690237</v>
      </c>
      <c r="C12" s="18">
        <f>-(C6-B6)*Assumptions!B11</f>
        <v>-132572551.77296586</v>
      </c>
      <c r="D12" s="18">
        <f>-(D6-C6)*Assumptions!B11</f>
        <v>-130315595.45416646</v>
      </c>
      <c r="E12" s="18">
        <f>-(E6-D6)*Assumptions!B11</f>
        <v>-126636746.12525798</v>
      </c>
      <c r="F12" s="18">
        <f>-(F6-E6)*Assumptions!B11</f>
        <v>-121498797.45727442</v>
      </c>
      <c r="G12" s="18">
        <f>-(G6-F6)*Assumptions!B11</f>
        <v>-114890750.90566304</v>
      </c>
      <c r="H12" s="18">
        <f>-(H6-G6)*Assumptions!B11</f>
        <v>-106829767.62281713</v>
      </c>
      <c r="I12" s="18">
        <f>-(I6-H6)*Assumptions!B11</f>
        <v>-97362417.84135953</v>
      </c>
      <c r="J12" s="18">
        <f>-(J6-I6)*Assumptions!B11</f>
        <v>-86565139.77692069</v>
      </c>
      <c r="K12" s="18">
        <f>-(K6-J6)*Assumptions!B11</f>
        <v>-74543845.43757813</v>
      </c>
    </row>
    <row r="13" spans="1:11" x14ac:dyDescent="0.25">
      <c r="A13" s="19" t="s">
        <v>56</v>
      </c>
      <c r="B13" s="20">
        <f>B9+B10+B11+B12</f>
        <v>1221274585.046499</v>
      </c>
      <c r="C13" s="20">
        <f>C9+C10+C11+C12</f>
        <v>1306214379.3918326</v>
      </c>
      <c r="D13" s="20">
        <f>D9+D10+D11+D12</f>
        <v>1369845001.2685122</v>
      </c>
      <c r="E13" s="20">
        <f>E9+E10+E11+E12</f>
        <v>1429884113.1229792</v>
      </c>
      <c r="F13" s="20">
        <f>F9+F10+F11+F12</f>
        <v>1485572190.2842474</v>
      </c>
      <c r="G13" s="20">
        <f>G9+G10+G11+G12</f>
        <v>1536176778.811284</v>
      </c>
      <c r="H13" s="20">
        <f>H9+H10+H11+H12</f>
        <v>1581008097.0066292</v>
      </c>
      <c r="I13" s="20">
        <f>I9+I10+I11+I12</f>
        <v>1619434342.6057882</v>
      </c>
      <c r="J13" s="20">
        <f>J9+J10+J11+J12</f>
        <v>1650896243.0340257</v>
      </c>
      <c r="K13" s="20">
        <f>K9+K10+K11+K12</f>
        <v>1674920389.9834132</v>
      </c>
    </row>
    <row r="14" spans="1:11" x14ac:dyDescent="0.25">
      <c r="A14" t="s">
        <v>57</v>
      </c>
      <c r="B14" s="21">
        <f>1/(1+Assumptions!$B$26)^(1-0.5*Assumptions!$B$32)</f>
        <v>0.9561138619749162</v>
      </c>
      <c r="C14" s="21">
        <f>1/(1+Assumptions!$B$26)^(2-0.5*Assumptions!$B$32)</f>
        <v>0.8740350408575248</v>
      </c>
      <c r="D14" s="21">
        <f>1/(1+Assumptions!$B$26)^(3-0.5*Assumptions!$B$32)</f>
        <v>0.7990023814411102</v>
      </c>
      <c r="E14" s="21">
        <f>1/(1+Assumptions!$B$26)^(4-0.5*Assumptions!$B$32)</f>
        <v>0.7304109969346537</v>
      </c>
      <c r="F14" s="21">
        <f>1/(1+Assumptions!$B$26)^(5-0.5*Assumptions!$B$32)</f>
        <v>0.6677079278297443</v>
      </c>
      <c r="G14" s="21">
        <f>1/(1+Assumptions!$B$26)^(6-0.5*Assumptions!$B$32)</f>
        <v>0.6103876841363844</v>
      </c>
      <c r="H14" s="21">
        <f>1/(1+Assumptions!$B$26)^(7-0.5*Assumptions!$B$32)</f>
        <v>0.5579881703012807</v>
      </c>
      <c r="I14" s="21">
        <f>1/(1+Assumptions!$B$26)^(8-0.5*Assumptions!$B$32)</f>
        <v>0.5100869599567528</v>
      </c>
      <c r="J14" s="21">
        <f>1/(1+Assumptions!$B$26)^(9-0.5*Assumptions!$B$32)</f>
        <v>0.46629789046860154</v>
      </c>
      <c r="K14" s="21">
        <f>1/(1+Assumptions!$B$26)^(10-0.5*Assumptions!$B$32)</f>
        <v>0.4262679498293836</v>
      </c>
    </row>
    <row r="15" spans="1:11" x14ac:dyDescent="0.25">
      <c r="A15" s="19" t="s">
        <v>58</v>
      </c>
      <c r="B15" s="20">
        <f>B13*B14</f>
        <v>1167677560.0406215</v>
      </c>
      <c r="C15" s="20">
        <f>C13*C14</f>
        <v>1141677138.4604268</v>
      </c>
      <c r="D15" s="20">
        <f>D13*D14</f>
        <v>1094509418.218742</v>
      </c>
      <c r="E15" s="20">
        <f>E13*E14</f>
        <v>1044403080.5671784</v>
      </c>
      <c r="F15" s="20">
        <f>F13*F14</f>
        <v>991928328.8161894</v>
      </c>
      <c r="G15" s="20">
        <f>G13*G14</f>
        <v>937663386.4427105</v>
      </c>
      <c r="H15" s="20">
        <f>H13*H14</f>
        <v>882183815.2802387</v>
      </c>
      <c r="I15" s="20">
        <f>I13*I14</f>
        <v>826052340.669349</v>
      </c>
      <c r="J15" s="20">
        <f>J13*J14</f>
        <v>769809435.5093058</v>
      </c>
      <c r="K15" s="20">
        <f>K13*K14</f>
        <v>713964880.7656612</v>
      </c>
    </row>
    <row r="17" spans="1:2" x14ac:dyDescent="0.25">
      <c r="A17" s="22" t="s">
        <v>59</v>
      </c>
      <c r="B17" s="23">
        <f>SUM(B15:K15)</f>
        <v>9569869384.770424</v>
      </c>
    </row>
    <row r="19" spans="1:11" x14ac:dyDescent="0.25">
      <c r="A19" t="s">
        <v>7</v>
      </c>
      <c r="B19" s="9">
        <f>Assumptions!$B$10+($B$20-Assumptions!$B$10)*0/9</f>
        <v>0.050687141643480704</v>
      </c>
      <c r="C19" s="9">
        <f>Assumptions!$B$10+($B$20-Assumptions!$B$10)*1/9</f>
        <v>0.053519075380737385</v>
      </c>
      <c r="D19" s="9">
        <f>Assumptions!$B$10+($B$20-Assumptions!$B$10)*2/9</f>
        <v>0.056351009117994066</v>
      </c>
      <c r="E19" s="9">
        <f>Assumptions!$B$10+($B$20-Assumptions!$B$10)*3/9</f>
        <v>0.05918294285525074</v>
      </c>
      <c r="F19" s="9">
        <f>Assumptions!$B$10+($B$20-Assumptions!$B$10)*4/9</f>
        <v>0.06201487659250742</v>
      </c>
      <c r="G19" s="9">
        <f>Assumptions!$B$10+($B$20-Assumptions!$B$10)*5/9</f>
        <v>0.06484681032976411</v>
      </c>
      <c r="H19" s="9">
        <f>Assumptions!$B$10+($B$20-Assumptions!$B$10)*6/9</f>
        <v>0.06767874406702078</v>
      </c>
      <c r="I19" s="9">
        <f>Assumptions!$B$10+($B$20-Assumptions!$B$10)*7/9</f>
        <v>0.07051067780427746</v>
      </c>
      <c r="J19" s="9">
        <f>Assumptions!$B$10+($B$20-Assumptions!$B$10)*8/9</f>
        <v>0.07334261154153414</v>
      </c>
      <c r="K19" s="9">
        <f>Assumptions!$B$10+($B$20-Assumptions!$B$10)*9/9</f>
        <v>0.07617454527879082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0.07617454527879082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1674920389.9834132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2131900548.0219288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0.17938750142720247</v>
      </c>
    </row>
    <row r="7" spans="1:2" x14ac:dyDescent="0.25">
      <c r="A7" t="s">
        <v>66</v>
      </c>
      <c r="B7" s="18">
        <f>-MAX(B5,0)*B6</f>
        <v>-382436312.6009375</v>
      </c>
    </row>
    <row r="8" spans="1:2" x14ac:dyDescent="0.25">
      <c r="A8" t="s">
        <v>67</v>
      </c>
      <c r="B8" s="18">
        <f>IF(OR(Assumptions!$B$33=0,Assumptions!B12&lt;=0),B5,MAX(B5+B7,0))</f>
        <v>1749464235.4209914</v>
      </c>
    </row>
    <row r="9" spans="1:2" x14ac:dyDescent="0.25">
      <c r="A9" t="s">
        <v>68</v>
      </c>
      <c r="B9" s="18">
        <f>B8*(1+Assumptions!B12)/(Assumptions!B26-Assumptions!B12)</f>
        <v>26023142049.759155</v>
      </c>
    </row>
    <row r="10" spans="1:2" x14ac:dyDescent="0.25">
      <c r="A10" t="s">
        <v>69</v>
      </c>
      <c r="B10" s="18">
        <f>B9/(1+Assumptions!B26)^(10-0.5*Assumptions!B32)</f>
        <v>11092831409.669659</v>
      </c>
    </row>
    <row r="11" spans="1:2" x14ac:dyDescent="0.25">
      <c r="A11" t="s">
        <v>70</v>
      </c>
      <c r="B11" s="18">
        <f>Forecast!B17+B10</f>
        <v>20662700794.440083</v>
      </c>
    </row>
    <row r="12" spans="1:2" x14ac:dyDescent="0.25">
      <c r="A12" t="s">
        <v>71</v>
      </c>
      <c r="B12" s="18">
        <f>-Assumptions!B30</f>
        <v>-1565000000</v>
      </c>
    </row>
    <row r="13" spans="1:2" x14ac:dyDescent="0.25">
      <c r="A13" t="s">
        <v>72</v>
      </c>
      <c r="B13" s="18">
        <f>B11+B12</f>
        <v>19097700794.440083</v>
      </c>
    </row>
    <row r="14" spans="1:2" x14ac:dyDescent="0.25">
      <c r="A14" s="19" t="s">
        <v>73</v>
      </c>
      <c r="B14" s="24">
        <f>B13/Assumptions!B31</f>
        <v>67.0094764717196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2891928337.496043</v>
      </c>
    </row>
    <row r="18" spans="1:2" x14ac:dyDescent="0.25">
      <c r="A18" t="s">
        <v>68</v>
      </c>
      <c r="B18" s="18">
        <f>B17*Assumptions!B13</f>
        <v>57838566749.92087</v>
      </c>
    </row>
    <row r="19" spans="1:2" x14ac:dyDescent="0.25">
      <c r="A19" t="s">
        <v>69</v>
      </c>
      <c r="B19" s="18">
        <f>B18/(1+Assumptions!B26)^(10-0.5*Assumptions!B32)</f>
        <v>24654727269.558723</v>
      </c>
    </row>
    <row r="20" spans="1:2" x14ac:dyDescent="0.25">
      <c r="A20" t="s">
        <v>70</v>
      </c>
      <c r="B20" s="18">
        <f>Forecast!B17+B19</f>
        <v>34224596654.329147</v>
      </c>
    </row>
    <row r="21" spans="1:2" x14ac:dyDescent="0.25">
      <c r="A21" t="s">
        <v>71</v>
      </c>
      <c r="B21" s="18">
        <f>-Assumptions!B30</f>
        <v>-1565000000</v>
      </c>
    </row>
    <row r="22" spans="1:2" x14ac:dyDescent="0.25">
      <c r="A22" t="s">
        <v>72</v>
      </c>
      <c r="B22" s="18">
        <f>B20+B21</f>
        <v>32659596654.329147</v>
      </c>
    </row>
    <row r="23" spans="1:2" x14ac:dyDescent="0.25">
      <c r="A23" s="19" t="s">
        <v>73</v>
      </c>
      <c r="B23" s="25">
        <f>B22/Assumptions!B31</f>
        <v>114.59507598010227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174.87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67.0094764717196</v>
      </c>
    </row>
    <row r="29" spans="1:2" x14ac:dyDescent="0.25">
      <c r="A29" s="19" t="s">
        <v>81</v>
      </c>
      <c r="B29" s="11">
        <f>B28/B26-1</f>
        <v>-0.6168040460243633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0.073908</v>
      </c>
      <c r="B5" s="31">
        <v>91.014755340363</v>
      </c>
      <c r="C5" s="31">
        <v>93.41149594522105</v>
      </c>
      <c r="D5" s="31">
        <v>96.4252011559608</v>
      </c>
      <c r="E5" s="31">
        <v>100.26664051544971</v>
      </c>
      <c r="F5" s="31">
        <v>105.25492608884763</v>
      </c>
    </row>
    <row r="6" spans="1:6" x14ac:dyDescent="0.25">
      <c r="A6" s="30">
        <v>0.083908</v>
      </c>
      <c r="B6" s="31">
        <v>76.68969067971331</v>
      </c>
      <c r="C6" s="31">
        <v>77.80653943062067</v>
      </c>
      <c r="D6" s="31">
        <v>79.21262334492857</v>
      </c>
      <c r="E6" s="31">
        <v>80.98842263802268</v>
      </c>
      <c r="F6" s="31">
        <v>83.24732838461046</v>
      </c>
    </row>
    <row r="7" spans="1:6" x14ac:dyDescent="0.25">
      <c r="A7" s="30">
        <v>0.093908</v>
      </c>
      <c r="B7" s="31">
        <v>66.02818182204106</v>
      </c>
      <c r="C7" s="31">
        <v>66.44801776444316</v>
      </c>
      <c r="D7" s="32">
        <v>67.00940311180675</v>
      </c>
      <c r="E7" s="31">
        <v>67.74556126455774</v>
      </c>
      <c r="F7" s="31">
        <v>68.7009953815339</v>
      </c>
    </row>
    <row r="8" spans="1:6" x14ac:dyDescent="0.25">
      <c r="A8" s="30">
        <v>0.103908</v>
      </c>
      <c r="B8" s="31">
        <v>57.79163986325041</v>
      </c>
      <c r="C8" s="31">
        <v>57.815879077871784</v>
      </c>
      <c r="D8" s="31">
        <v>57.90988180785702</v>
      </c>
      <c r="E8" s="31">
        <v>58.087806909222536</v>
      </c>
      <c r="F8" s="31">
        <v>58.36792273354871</v>
      </c>
    </row>
    <row r="9" spans="1:6" x14ac:dyDescent="0.25">
      <c r="A9" s="30">
        <v>0.113908</v>
      </c>
      <c r="B9" s="31">
        <v>51.24258486710727</v>
      </c>
      <c r="C9" s="31">
        <v>51.03769310598074</v>
      </c>
      <c r="D9" s="31">
        <v>50.865870654520414</v>
      </c>
      <c r="E9" s="31">
        <v>50.733029221323704</v>
      </c>
      <c r="F9" s="31">
        <v>50.6465788950249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6948000000</v>
      </c>
      <c r="C5" s="18">
        <v>6510000000</v>
      </c>
      <c r="D5" s="18">
        <v>6833000000</v>
      </c>
      <c r="E5" s="18">
        <v>6848000000</v>
      </c>
      <c r="F5" s="6" t="s">
        <v>91</v>
      </c>
    </row>
    <row r="6" spans="1:6" x14ac:dyDescent="0.25">
      <c r="A6" t="s">
        <v>51</v>
      </c>
      <c r="B6" s="18">
        <v>1479000000</v>
      </c>
      <c r="C6" s="18">
        <v>1488000000</v>
      </c>
      <c r="D6" s="18">
        <v>1350000000</v>
      </c>
      <c r="E6" s="18">
        <v>1618000000</v>
      </c>
      <c r="F6" s="6" t="s">
        <v>92</v>
      </c>
    </row>
    <row r="7" spans="1:6" x14ac:dyDescent="0.25">
      <c r="A7" t="s">
        <v>93</v>
      </c>
      <c r="B7" s="18">
        <v>288000000</v>
      </c>
      <c r="C7" s="18">
        <v>257000000</v>
      </c>
      <c r="D7" s="18">
        <v>271000000</v>
      </c>
      <c r="E7" s="18">
        <v>317000000</v>
      </c>
      <c r="F7" s="6" t="s">
        <v>94</v>
      </c>
    </row>
    <row r="8" spans="1:6" x14ac:dyDescent="0.25">
      <c r="A8" t="s">
        <v>95</v>
      </c>
      <c r="B8" s="18">
        <v>407000000</v>
      </c>
      <c r="C8" s="18">
        <v>378000000</v>
      </c>
      <c r="D8" s="18">
        <v>298000000</v>
      </c>
      <c r="E8" s="18">
        <v>291000000</v>
      </c>
      <c r="F8" s="6" t="s">
        <v>96</v>
      </c>
    </row>
    <row r="9" spans="1:6" x14ac:dyDescent="0.25">
      <c r="A9" t="s">
        <v>97</v>
      </c>
      <c r="B9" s="18">
        <v>131000000</v>
      </c>
      <c r="C9" s="18">
        <v>-83000000</v>
      </c>
      <c r="D9" s="18">
        <v>116000000</v>
      </c>
      <c r="E9" s="18">
        <v>478000000</v>
      </c>
      <c r="F9" s="6" t="s">
        <v>98</v>
      </c>
    </row>
    <row r="10" spans="1:6" x14ac:dyDescent="0.25">
      <c r="A10" t="s">
        <v>99</v>
      </c>
      <c r="B10" s="18">
        <v>3354000000</v>
      </c>
      <c r="C10" s="18">
        <v>3390000000</v>
      </c>
      <c r="D10" s="18">
        <v>2735000000</v>
      </c>
      <c r="E10" s="18">
        <v>2769000000</v>
      </c>
      <c r="F10" s="6" t="s">
        <v>100</v>
      </c>
    </row>
    <row r="11" spans="1:6" x14ac:dyDescent="0.25">
      <c r="A11" t="s">
        <v>101</v>
      </c>
      <c r="B11" s="18">
        <v>1789000000</v>
      </c>
      <c r="C11" s="18">
        <v>1329000000</v>
      </c>
      <c r="D11" s="18">
        <v>1590000000</v>
      </c>
      <c r="E11" s="18">
        <v>1053000000</v>
      </c>
      <c r="F11" s="6" t="s">
        <v>102</v>
      </c>
    </row>
    <row r="12" spans="1:6" x14ac:dyDescent="0.25">
      <c r="A12" t="s">
        <v>34</v>
      </c>
      <c r="B12" s="34">
        <v>285000000</v>
      </c>
      <c r="C12" s="34">
        <v>291000000</v>
      </c>
      <c r="D12" s="34">
        <v>296000000</v>
      </c>
      <c r="E12" s="34">
        <v>300000000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