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<sst xmlns="http://schemas.openxmlformats.org/spreadsheetml/2006/main" count="114" uniqueCount="102">
  <si>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A2A S.p.A. (A2A.MI)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</si>
  <si>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</si>
  <si>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</si>
  <si>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</si>
  <si>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</si>
  <si>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</si>
  <si>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</si>
  <si>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</si>
  <si>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</si>
  <si>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</si>
  <si>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</si>
  <si>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</si>
  <si>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</si>
  <si>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</si>
  <si>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</si>
  <si>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</si>
  <si>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</si>
  <si>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</si>
  <si>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</si>
  <si>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</si>
  <si>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</si>
  <si>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</si>
  <si>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</si>
  <si>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</si>
  <si>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</si>
  <si>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</si>
  <si>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</si>
  <si>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</si>
  <si>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</si>
  <si>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</si>
  <si>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</si>
  <si>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</si>
  <si>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</si>
  <si>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</si>
  <si>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</si>
  <si>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</si>
  <si>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</si>
  <si>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</si>
  <si>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</si>
  <si>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</si>
  <si>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</si>
  <si>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</si>
  <si>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</si>
  <si>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</si>
  <si>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</si>
  <si>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</si>
  <si>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</si>
  <si>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</si>
  <si>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</si>
  <si>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</si>
  <si>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</si>
  <si>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</si>
  <si>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</si>
  <si>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</si>
  <si>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</si>
  <si>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</si>
  <si>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</si>
  <si>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</si>
  <si>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</si>
  <si>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</si>
  <si>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</si>
  <si>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</si>
  <si>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</si>
  <si>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</si>
  <si>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</si>
  <si>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</si>
  <si>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</si>
  <si>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</si>
  <si>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</si>
  <si>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</si>
  <si>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</si>
  <si>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</si>
  <si>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</si>
  <si>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</si>
  <si>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</si>
  <si>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</si>
  <si>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</si>
  <si>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</si>
  <si>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</si>
  <si>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</si>
  <si>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</si>
  <si>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</si>
  <si>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</si>
  <si>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</si>
  <si>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</si>
  <si>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</si>
  <si>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</si>
  <si>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</si>
  <si>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</si>
  <si>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</si>
  <si>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</si>
  <si>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</si>
  <si>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</si>
  <si>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</si>
  <si>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</si>
  <si>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</si>
  <si>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</si>
  <si>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</si>
  <si>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</si>
  <si>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9.8% of revenue against depreciation of 5.7%.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</si>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</sst>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-0.1570537977170916</v>
      </c>
    </row>
    <row r="7" spans="1:2" x14ac:dyDescent="0.25">
      <c r="A7" t="s">
        <v>5</v>
      </c>
      <c r="B7" s="6">
        <v>0.06461082911684483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0.05666788645297434</v>
      </c>
    </row>
    <row r="10" spans="1:2" x14ac:dyDescent="0.25">
      <c r="A10" t="s">
        <v>8</v>
      </c>
      <c r="B10" s="6">
        <v>0.0979116320084831</v>
      </c>
    </row>
    <row r="11" spans="1:2" x14ac:dyDescent="0.25">
      <c r="A11" t="s">
        <v>9</v>
      </c>
      <c r="B11" s="6">
        <v>-0.24557752341311134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6.143118308816367</v>
      </c>
    </row>
    <row r="14" spans="1:3" x14ac:dyDescent="0.25">
      <c r="A14" t="s">
        <v>12</v>
      </c>
      <c r="B14" s="6">
        <v>0.06479601752303848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0.86332</v>
      </c>
      <c r="C19" s="8" t="s">
        <v>19</v>
      </c>
    </row>
    <row r="20" spans="1:2" x14ac:dyDescent="0.25">
      <c r="A20" t="s">
        <v>20</v>
      </c>
      <c r="B20" s="10">
        <f>B17+B19*B18</f>
        <v>0.0981158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7254821888</v>
      </c>
    </row>
    <row r="23" spans="1:2" x14ac:dyDescent="0.25">
      <c r="A23" t="s">
        <v>24</v>
      </c>
      <c r="B23" s="11">
        <v>7260000000</v>
      </c>
    </row>
    <row r="24" spans="1:2" x14ac:dyDescent="0.25">
      <c r="A24" t="s">
        <v>25</v>
      </c>
      <c r="B24" s="10">
        <f>B22/(B22+B23)</f>
        <v>0.49982162674678493</v>
      </c>
    </row>
    <row r="25" spans="1:2" x14ac:dyDescent="0.25">
      <c r="A25" t="s">
        <v>26</v>
      </c>
      <c r="B25" s="10">
        <f>1-B24</f>
        <v>0.500178373253215</v>
      </c>
    </row>
    <row r="26" spans="1:2" x14ac:dyDescent="0.25">
      <c r="A26" t="s">
        <v>27</v>
      </c>
      <c r="B26" s="12">
        <f>B24*B20+B25*B21*(1-B8)</f>
        <v>0.06479601752303848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13739000000</v>
      </c>
      <c r="C29" s="8" t="s">
        <v>30</v>
      </c>
    </row>
    <row r="30" spans="1:2" x14ac:dyDescent="0.25">
      <c r="A30" t="s">
        <v>31</v>
      </c>
      <c r="B30" s="11">
        <v>5357000000</v>
      </c>
    </row>
    <row r="31" spans="1:2" x14ac:dyDescent="0.25">
      <c r="A31" t="s">
        <v>32</v>
      </c>
      <c r="B31" s="13">
        <v>3128758190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-0.1570537977170916</v>
      </c>
      <c r="C5" s="10">
        <f>Assumptions!B6</f>
        <v>-0.1570537977170916</v>
      </c>
      <c r="D5" s="10">
        <f>Assumptions!B6</f>
        <v>-0.1570537977170916</v>
      </c>
      <c r="E5" s="10">
        <f>Assumptions!B6</f>
        <v>-0.1570537977170916</v>
      </c>
      <c r="F5" s="10">
        <f>Assumptions!B6</f>
        <v>-0.1570537977170916</v>
      </c>
    </row>
    <row r="6" spans="1:6" x14ac:dyDescent="0.25">
      <c r="A6" t="s">
        <v>43</v>
      </c>
      <c r="B6" s="18">
        <f>Assumptions!B29*(1+B5)</f>
        <v>11581237873.164879</v>
      </c>
      <c r="C6" s="18">
        <f>B6*(1+C5)</f>
        <v>9762360482.919321</v>
      </c>
      <c r="D6" s="18">
        <f>C6*(1+D5)</f>
        <v>8229144694.393581</v>
      </c>
      <c r="E6" s="18">
        <f>D6*(1+E5)</f>
        <v>6936726268.175614</v>
      </c>
      <c r="F6" s="18">
        <f>E6*(1+F5)</f>
        <v>5847287064.034726</v>
      </c>
    </row>
    <row r="7" spans="1:6" x14ac:dyDescent="0.25">
      <c r="A7" t="s">
        <v>5</v>
      </c>
      <c r="B7" s="10">
        <f>Assumptions!B7</f>
        <v>0.06461082911684483</v>
      </c>
      <c r="C7" s="10">
        <f>Assumptions!B7</f>
        <v>0.06461082911684483</v>
      </c>
      <c r="D7" s="10">
        <f>Assumptions!B7</f>
        <v>0.06461082911684483</v>
      </c>
      <c r="E7" s="10">
        <f>Assumptions!B7</f>
        <v>0.06461082911684483</v>
      </c>
      <c r="F7" s="10">
        <f>Assumptions!B7</f>
        <v>0.06461082911684483</v>
      </c>
    </row>
    <row r="8" spans="1:6" x14ac:dyDescent="0.25">
      <c r="A8" t="s">
        <v>44</v>
      </c>
      <c r="B8" s="18">
        <f>B6*B7</f>
        <v>748273381.1845875</v>
      </c>
      <c r="C8" s="18">
        <f>C6*C7</f>
        <v>630754204.9389391</v>
      </c>
      <c r="D8" s="18">
        <f>D6*D7</f>
        <v>531691861.627254</v>
      </c>
      <c r="E8" s="18">
        <f>E6*E7</f>
        <v>448187635.5434234</v>
      </c>
      <c r="F8" s="18">
        <f>F6*F7</f>
        <v>377798065.291485</v>
      </c>
    </row>
    <row r="9" spans="1:6" x14ac:dyDescent="0.25">
      <c r="A9" t="s">
        <v>45</v>
      </c>
      <c r="B9" s="18">
        <f>B8*(1-Assumptions!B8)</f>
        <v>561205035.8884406</v>
      </c>
      <c r="C9" s="18">
        <f>C8*(1-Assumptions!B8)</f>
        <v>473065653.7042043</v>
      </c>
      <c r="D9" s="18">
        <f>D8*(1-Assumptions!B8)</f>
        <v>398768896.2204405</v>
      </c>
      <c r="E9" s="18">
        <f>E8*(1-Assumptions!B8)</f>
        <v>336140726.65756756</v>
      </c>
      <c r="F9" s="18">
        <f>F8*(1-Assumptions!B8)</f>
        <v>283348548.96861374</v>
      </c>
    </row>
    <row r="10" spans="1:6" x14ac:dyDescent="0.25">
      <c r="A10" t="s">
        <v>46</v>
      </c>
      <c r="B10" s="18">
        <f>B6*Assumptions!B9</f>
        <v>656284272.7813934</v>
      </c>
      <c r="C10" s="18">
        <f>C6*Assumptions!B9</f>
        <v>553212335.3590758</v>
      </c>
      <c r="D10" s="18">
        <f>D6*Assumptions!B9</f>
        <v>466328237.14699167</v>
      </c>
      <c r="E10" s="18">
        <f>E6*Assumptions!B9</f>
        <v>393089616.52034014</v>
      </c>
      <c r="F10" s="18">
        <f>F6*Assumptions!B9</f>
        <v>331353399.40266556</v>
      </c>
    </row>
    <row r="11" spans="1:6" x14ac:dyDescent="0.25">
      <c r="A11" t="s">
        <v>47</v>
      </c>
      <c r="B11" s="18">
        <f>-B6*Assumptions!B10</f>
        <v>-1133937900.840027</v>
      </c>
      <c r="C11" s="18">
        <f>-C6*Assumptions!B10</f>
        <v>-955848647.137754</v>
      </c>
      <c r="D11" s="18">
        <f>-D6*Assumptions!B10</f>
        <v>-805728987.0620254</v>
      </c>
      <c r="E11" s="18">
        <f>-E6*Assumptions!B10</f>
        <v>-679186189.713189</v>
      </c>
      <c r="F11" s="18">
        <f>-F6*Assumptions!B10</f>
        <v>-572517419.2617316</v>
      </c>
    </row>
    <row r="12" spans="1:6" x14ac:dyDescent="0.25">
      <c r="A12" t="s">
        <v>48</v>
      </c>
      <c r="B12" s="18">
        <f>-(B6-Assumptions!B29)*Assumptions!B11</f>
        <v>-529897879.2227769</v>
      </c>
      <c r="C12" s="18">
        <f>-(C6-B6)*Assumptions!B11</f>
        <v>-446675404.8886073</v>
      </c>
      <c r="D12" s="18">
        <f>-(D6-C6)*Assumptions!B11</f>
        <v>-376523336.2040318</v>
      </c>
      <c r="E12" s="18">
        <f>-(E6-D6)*Assumptions!B11</f>
        <v>-317388916.32407933</v>
      </c>
      <c r="F12" s="18">
        <f>-(F6-E6)*Assumptions!B11</f>
        <v>-267541781.66207036</v>
      </c>
    </row>
    <row r="13" spans="1:6" x14ac:dyDescent="0.25">
      <c r="A13" s="19" t="s">
        <v>49</v>
      </c>
      <c r="B13" s="20">
        <f>B9+B10+B11+B12</f>
        <v>-446346471.39296985</v>
      </c>
      <c r="C13" s="20">
        <f>C9+C10+C11+C12</f>
        <v>-376246062.9630812</v>
      </c>
      <c r="D13" s="20">
        <f>D9+D10+D11+D12</f>
        <v>-317155189.89862514</v>
      </c>
      <c r="E13" s="20">
        <f>E9+E10+E11+E12</f>
        <v>-267344762.85936064</v>
      </c>
      <c r="F13" s="20">
        <f>F9+F10+F11+F12</f>
        <v>-225357252.55252275</v>
      </c>
    </row>
    <row r="14" spans="1:6" x14ac:dyDescent="0.25">
      <c r="A14" t="s">
        <v>50</v>
      </c>
      <c r="B14" s="21">
        <f>1/(1+Assumptions!$B$26)^(1-0.5*Assumptions!$B$32)</f>
        <v>0.9690959775208123</v>
      </c>
      <c r="C14" s="21">
        <f>1/(1+Assumptions!$B$26)^(2-0.5*Assumptions!$B$32)</f>
        <v>0.910123593226009</v>
      </c>
      <c r="D14" s="21">
        <f>1/(1+Assumptions!$B$26)^(3-0.5*Assumptions!$B$32)</f>
        <v>0.8547398546279003</v>
      </c>
      <c r="E14" s="21">
        <f>1/(1+Assumptions!$B$26)^(4-0.5*Assumptions!$B$32)</f>
        <v>0.8027263819188794</v>
      </c>
      <c r="F14" s="21">
        <f>1/(1+Assumptions!$B$26)^(5-0.5*Assumptions!$B$32)</f>
        <v>0.7538780843547916</v>
      </c>
    </row>
    <row r="15" spans="1:6" x14ac:dyDescent="0.25">
      <c r="A15" s="19" t="s">
        <v>51</v>
      </c>
      <c r="B15" s="20">
        <f>B13*B14</f>
        <v>-432552570.0075354</v>
      </c>
      <c r="C15" s="20">
        <f>C13*C14</f>
        <v>-342430418.7610987</v>
      </c>
      <c r="D15" s="20">
        <f>D13*D14</f>
        <v>-271085180.9084349</v>
      </c>
      <c r="E15" s="20">
        <f>E13*E14</f>
        <v>-214604694.21505535</v>
      </c>
      <c r="F15" s="20">
        <f>F13*F14</f>
        <v>-169891893.84975484</v>
      </c>
    </row>
    <row r="17" spans="1:2" x14ac:dyDescent="0.25">
      <c r="A17" s="22" t="s">
        <v>52</v>
      </c>
      <c r="B17" s="23">
        <f>SUM(B15:F15)</f>
        <v>-1430564757.741879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-225357252.55252275</v>
      </c>
    </row>
    <row r="5" spans="1:2" x14ac:dyDescent="0.25">
      <c r="A5" t="s">
        <v>56</v>
      </c>
      <c r="B5" s="18">
        <f>IF(Assumptions!$B$33=0,B4,B4-Forecast!F11-Forecast!F10-Forecast!F12)</f>
        <v>370041623.7331313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0.3858261812326838</v>
      </c>
    </row>
    <row r="7" spans="1:2" x14ac:dyDescent="0.25">
      <c r="A7" t="s">
        <v>58</v>
      </c>
      <c r="B7" s="18">
        <f>-MAX(Forecast!F9,0)*B6</f>
        <v>-142771746.5820957</v>
      </c>
    </row>
    <row r="8" spans="1:2" x14ac:dyDescent="0.25">
      <c r="A8" t="s">
        <v>59</v>
      </c>
      <c r="B8" s="18">
        <f>IF(OR(Assumptions!$B$33=0,Assumptions!B12&lt;=0),B5,MAX(B5+B7,0))</f>
        <v>227269877.15103558</v>
      </c>
    </row>
    <row r="9" spans="1:2" x14ac:dyDescent="0.25">
      <c r="A9" t="s">
        <v>60</v>
      </c>
      <c r="B9" s="18">
        <f>B8*(1+Assumptions!B12)/(Assumptions!B26-Assumptions!B12)</f>
        <v>5853641609.865923</v>
      </c>
    </row>
    <row r="10" spans="1:2" x14ac:dyDescent="0.25">
      <c r="A10" t="s">
        <v>61</v>
      </c>
      <c r="B10" s="18">
        <f>B9/(1+Assumptions!B26)^(5-0.5*Assumptions!B32)</f>
        <v>4412932123.345221</v>
      </c>
    </row>
    <row r="11" spans="1:2" x14ac:dyDescent="0.25">
      <c r="A11" t="s">
        <v>62</v>
      </c>
      <c r="B11" s="18">
        <f>Forecast!B17+B10</f>
        <v>2982367365.6033416</v>
      </c>
    </row>
    <row r="12" spans="1:2" x14ac:dyDescent="0.25">
      <c r="A12" t="s">
        <v>63</v>
      </c>
      <c r="B12" s="18">
        <f>-Assumptions!B30</f>
        <v>-5357000000</v>
      </c>
    </row>
    <row r="13" spans="1:2" x14ac:dyDescent="0.25">
      <c r="A13" t="s">
        <v>64</v>
      </c>
      <c r="B13" s="18">
        <f>B11+B12</f>
        <v>-2374632634.3966584</v>
      </c>
    </row>
    <row r="14" spans="1:2" x14ac:dyDescent="0.25">
      <c r="A14" s="19" t="s">
        <v>65</v>
      </c>
      <c r="B14" s="24">
        <f>B13/Assumptions!B31</f>
        <v>-0.7589696902708414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709151464.6941506</v>
      </c>
    </row>
    <row r="18" spans="1:2" x14ac:dyDescent="0.25">
      <c r="A18" t="s">
        <v>60</v>
      </c>
      <c r="B18" s="18">
        <f>B17*Assumptions!B13</f>
        <v>4356401346.48658</v>
      </c>
    </row>
    <row r="19" spans="1:2" x14ac:dyDescent="0.25">
      <c r="A19" t="s">
        <v>61</v>
      </c>
      <c r="B19" s="18">
        <f>B18/(1+Assumptions!B26)^(5-0.5*Assumptions!B32)</f>
        <v>3284195501.769938</v>
      </c>
    </row>
    <row r="20" spans="1:2" x14ac:dyDescent="0.25">
      <c r="A20" t="s">
        <v>62</v>
      </c>
      <c r="B20" s="18">
        <f>Forecast!B17+B19</f>
        <v>1853630744.028059</v>
      </c>
    </row>
    <row r="21" spans="1:2" x14ac:dyDescent="0.25">
      <c r="A21" t="s">
        <v>63</v>
      </c>
      <c r="B21" s="18">
        <f>-Assumptions!B30</f>
        <v>-5357000000</v>
      </c>
    </row>
    <row r="22" spans="1:2" x14ac:dyDescent="0.25">
      <c r="A22" t="s">
        <v>64</v>
      </c>
      <c r="B22" s="18">
        <f>B20+B21</f>
        <v>-3503369255.971941</v>
      </c>
    </row>
    <row r="23" spans="1:2" x14ac:dyDescent="0.25">
      <c r="A23" s="19" t="s">
        <v>65</v>
      </c>
      <c r="B23" s="25">
        <f>B22/Assumptions!B31</f>
        <v>-1.1197315494592253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2.319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-0.7589696902708414</v>
      </c>
    </row>
    <row r="29" spans="1:2" x14ac:dyDescent="0.25">
      <c r="A29" s="19" t="s">
        <v>73</v>
      </c>
      <c r="B29" s="12">
        <f>B28/B26-1</f>
        <v>-1.3272831782107983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0.044796</v>
      </c>
      <c r="B5" s="31">
        <v>0.32750554494206846</v>
      </c>
      <c r="C5" s="31">
        <v>0.5304808368765915</v>
      </c>
      <c r="D5" s="31">
        <v>0.8320712673803397</v>
      </c>
      <c r="E5" s="31">
        <v>1.33225163224531</v>
      </c>
      <c r="F5" s="31">
        <v>2.335110234392934</v>
      </c>
    </row>
    <row r="6" spans="1:6" x14ac:dyDescent="0.25">
      <c r="A6" s="30">
        <v>0.054796</v>
      </c>
      <c r="B6" s="31">
        <v>-0.3742358671538126</v>
      </c>
      <c r="C6" s="31">
        <v>-0.32266832263705464</v>
      </c>
      <c r="D6" s="31">
        <v>-0.25628796598307046</v>
      </c>
      <c r="E6" s="31">
        <v>-0.16613398972055707</v>
      </c>
      <c r="F6" s="31">
        <v>-0.0341924367810188</v>
      </c>
    </row>
    <row r="7" spans="1:6" x14ac:dyDescent="0.25">
      <c r="A7" s="30">
        <v>0.064796</v>
      </c>
      <c r="B7" s="31">
        <v>-0.772729634773492</v>
      </c>
      <c r="C7" s="31">
        <v>-0.7658494272690871</v>
      </c>
      <c r="D7" s="32">
        <v>-0.7589692197646829</v>
      </c>
      <c r="E7" s="31">
        <v>-0.7520890122602782</v>
      </c>
      <c r="F7" s="31">
        <v>-0.7452088047558737</v>
      </c>
    </row>
    <row r="8" spans="1:6" x14ac:dyDescent="0.25">
      <c r="A8" s="30">
        <v>0.074796</v>
      </c>
      <c r="B8" s="31">
        <v>-1.0006877247762291</v>
      </c>
      <c r="C8" s="31">
        <v>-0.9949728986269879</v>
      </c>
      <c r="D8" s="31">
        <v>-0.989258072477747</v>
      </c>
      <c r="E8" s="31">
        <v>-0.9835432463285054</v>
      </c>
      <c r="F8" s="31">
        <v>-0.9778284201792646</v>
      </c>
    </row>
    <row r="9" spans="1:6" x14ac:dyDescent="0.25">
      <c r="A9" s="30">
        <v>0.084796</v>
      </c>
      <c r="B9" s="31">
        <v>-1.170964816642925</v>
      </c>
      <c r="C9" s="31">
        <v>-1.1661297008570408</v>
      </c>
      <c r="D9" s="31">
        <v>-1.1612945850711578</v>
      </c>
      <c r="E9" s="31">
        <v>-1.1564594692852737</v>
      </c>
      <c r="F9" s="31">
        <v>-1.1516243534993902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13739000000</v>
      </c>
      <c r="C5" s="18">
        <v>12570000000</v>
      </c>
      <c r="D5" s="18">
        <v>14492000000</v>
      </c>
      <c r="E5" s="18">
        <v>22938000000</v>
      </c>
      <c r="F5" s="8" t="s">
        <v>84</v>
      </c>
    </row>
    <row r="6" spans="1:6" x14ac:dyDescent="0.25">
      <c r="A6" t="s">
        <v>44</v>
      </c>
      <c r="B6" s="18">
        <v>1098000000</v>
      </c>
      <c r="C6" s="18">
        <v>1229000000</v>
      </c>
      <c r="D6" s="18">
        <v>855000000</v>
      </c>
      <c r="E6" s="18">
        <v>499000000</v>
      </c>
      <c r="F6" s="8" t="s">
        <v>85</v>
      </c>
    </row>
    <row r="7" spans="1:6" x14ac:dyDescent="0.25">
      <c r="A7" t="s">
        <v>86</v>
      </c>
      <c r="B7" s="18">
        <v>955000000</v>
      </c>
      <c r="C7" s="18">
        <v>884000000</v>
      </c>
      <c r="D7" s="18">
        <v>801000000</v>
      </c>
      <c r="E7" s="18">
        <v>724000000</v>
      </c>
      <c r="F7" s="8" t="s">
        <v>87</v>
      </c>
    </row>
    <row r="8" spans="1:6" x14ac:dyDescent="0.25">
      <c r="A8" t="s">
        <v>88</v>
      </c>
      <c r="B8" s="18">
        <v>1681000000</v>
      </c>
      <c r="C8" s="18">
        <v>1512000000</v>
      </c>
      <c r="D8" s="18">
        <v>1376000000</v>
      </c>
      <c r="E8" s="18">
        <v>1240000000</v>
      </c>
      <c r="F8" s="8" t="s">
        <v>89</v>
      </c>
    </row>
    <row r="9" spans="1:6" x14ac:dyDescent="0.25">
      <c r="A9" t="s">
        <v>90</v>
      </c>
      <c r="B9" s="18">
        <v>-371000000</v>
      </c>
      <c r="C9" s="18">
        <v>472000000</v>
      </c>
      <c r="D9" s="18">
        <v>228000000</v>
      </c>
      <c r="E9" s="18">
        <v>-323000000</v>
      </c>
      <c r="F9" s="8" t="s">
        <v>91</v>
      </c>
    </row>
    <row r="10" spans="1:6" x14ac:dyDescent="0.25">
      <c r="A10" t="s">
        <v>92</v>
      </c>
      <c r="B10" s="18">
        <v>7260000000</v>
      </c>
      <c r="C10" s="18">
        <v>7272000000</v>
      </c>
      <c r="D10" s="18">
        <v>6351000000</v>
      </c>
      <c r="E10" s="18">
        <v>6889000000</v>
      </c>
      <c r="F10" s="8" t="s">
        <v>93</v>
      </c>
    </row>
    <row r="11" spans="1:6" x14ac:dyDescent="0.25">
      <c r="A11" t="s">
        <v>94</v>
      </c>
      <c r="B11" s="18">
        <v>1903000000</v>
      </c>
      <c r="C11" s="18">
        <v>1581000000</v>
      </c>
      <c r="D11" s="18">
        <v>1662000000</v>
      </c>
      <c r="E11" s="18">
        <v>2408000000</v>
      </c>
      <c r="F11" s="8" t="s">
        <v>95</v>
      </c>
    </row>
    <row r="12" spans="1:6" x14ac:dyDescent="0.25">
      <c r="A12" t="s">
        <v>32</v>
      </c>
      <c r="B12" s="34">
        <v>3128758190</v>
      </c>
      <c r="C12" s="34">
        <v>3132905277</v>
      </c>
      <c r="D12" s="34">
        <v>3132905277</v>
      </c>
      <c r="E12" s="34">
        <v>3132905277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