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<sst xmlns="http://schemas.openxmlformats.org/spreadsheetml/2006/main" count="113" uniqueCount="101">
  <si>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a2 Milk Company Limited (A2M.AX)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</si>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</sst>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0.07420743457061119</v>
      </c>
    </row>
    <row r="7" spans="1:2" x14ac:dyDescent="0.25">
      <c r="A7" t="s">
        <v>5</v>
      </c>
      <c r="B7" s="6">
        <v>0.1136403048869728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0.013478329869367759</v>
      </c>
    </row>
    <row r="10" spans="1:2" x14ac:dyDescent="0.25">
      <c r="A10" t="s">
        <v>8</v>
      </c>
      <c r="B10" s="6">
        <v>0.01453847980106767</v>
      </c>
    </row>
    <row r="11" spans="1:2" x14ac:dyDescent="0.25">
      <c r="A11" t="s">
        <v>9</v>
      </c>
      <c r="B11" s="6">
        <v>-0.09549015268864793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15.541915674337325</v>
      </c>
    </row>
    <row r="14" spans="1:3" x14ac:dyDescent="0.25">
      <c r="A14" t="s">
        <v>12</v>
      </c>
      <c r="B14" s="6">
        <v>0.10181223503182515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0.51425</v>
      </c>
      <c r="C19" s="8" t="s">
        <v>19</v>
      </c>
    </row>
    <row r="20" spans="1:2" x14ac:dyDescent="0.25">
      <c r="A20" t="s">
        <v>20</v>
      </c>
      <c r="B20" s="10">
        <f>B17+B19*B18</f>
        <v>0.084335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4877974016</v>
      </c>
    </row>
    <row r="23" spans="1:2" x14ac:dyDescent="0.25">
      <c r="A23" t="s">
        <v>24</v>
      </c>
      <c r="B23" s="11">
        <v>24313000</v>
      </c>
    </row>
    <row r="24" spans="1:2" x14ac:dyDescent="0.25">
      <c r="A24" t="s">
        <v>25</v>
      </c>
      <c r="B24" s="10">
        <f>B22/(B22+B23)</f>
        <v>0.9950404780624538</v>
      </c>
    </row>
    <row r="25" spans="1:2" x14ac:dyDescent="0.25">
      <c r="A25" t="s">
        <v>26</v>
      </c>
      <c r="B25" s="10">
        <f>1-B24</f>
        <v>0.00495952193754623</v>
      </c>
    </row>
    <row r="26" spans="1:2" x14ac:dyDescent="0.25">
      <c r="A26" t="s">
        <v>27</v>
      </c>
      <c r="B26" s="12">
        <f>B24*B20+B25*B21*(1-B8)</f>
        <v>0.08410240338065102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1972235000</v>
      </c>
      <c r="C29" s="8" t="s">
        <v>30</v>
      </c>
    </row>
    <row r="30" spans="1:2" x14ac:dyDescent="0.25">
      <c r="A30" t="s">
        <v>31</v>
      </c>
      <c r="B30" s="11">
        <v>-760159000</v>
      </c>
    </row>
    <row r="31" spans="1:2" x14ac:dyDescent="0.25">
      <c r="A31" t="s">
        <v>32</v>
      </c>
      <c r="B31" s="13">
        <v>729974293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0.07420743457061119</v>
      </c>
      <c r="C5" s="10">
        <f>Assumptions!B6</f>
        <v>0.07420743457061119</v>
      </c>
      <c r="D5" s="10">
        <f>Assumptions!B6</f>
        <v>0.07420743457061119</v>
      </c>
      <c r="E5" s="10">
        <f>Assumptions!B6</f>
        <v>0.07420743457061119</v>
      </c>
      <c r="F5" s="10">
        <f>Assumptions!B6</f>
        <v>0.07420743457061119</v>
      </c>
    </row>
    <row r="6" spans="1:6" x14ac:dyDescent="0.25">
      <c r="A6" t="s">
        <v>43</v>
      </c>
      <c r="B6" s="18">
        <f>Assumptions!B29*(1+B5)</f>
        <v>2118589499.7203693</v>
      </c>
      <c r="C6" s="18">
        <f>B6*(1+C5)</f>
        <v>2275804591.4028525</v>
      </c>
      <c r="D6" s="18">
        <f>C6*(1+D5)</f>
        <v>2444686211.714876</v>
      </c>
      <c r="E6" s="18">
        <f>D6*(1+E5)</f>
        <v>2626100103.8163834</v>
      </c>
      <c r="F6" s="18">
        <f>E6*(1+F5)</f>
        <v>2820976255.446213</v>
      </c>
    </row>
    <row r="7" spans="1:6" x14ac:dyDescent="0.25">
      <c r="A7" t="s">
        <v>5</v>
      </c>
      <c r="B7" s="10">
        <f>Assumptions!B7</f>
        <v>0.1136403048869728</v>
      </c>
      <c r="C7" s="10">
        <f>Assumptions!B7</f>
        <v>0.1136403048869728</v>
      </c>
      <c r="D7" s="10">
        <f>Assumptions!B7</f>
        <v>0.1136403048869728</v>
      </c>
      <c r="E7" s="10">
        <f>Assumptions!B7</f>
        <v>0.1136403048869728</v>
      </c>
      <c r="F7" s="10">
        <f>Assumptions!B7</f>
        <v>0.1136403048869728</v>
      </c>
    </row>
    <row r="8" spans="1:6" x14ac:dyDescent="0.25">
      <c r="A8" t="s">
        <v>44</v>
      </c>
      <c r="B8" s="18">
        <f>B6*B7</f>
        <v>240757156.67856196</v>
      </c>
      <c r="C8" s="18">
        <f>C6*C7</f>
        <v>258623127.63019273</v>
      </c>
      <c r="D8" s="18">
        <f>D6*D7</f>
        <v>277814886.45225704</v>
      </c>
      <c r="E8" s="18">
        <f>E6*E7</f>
        <v>298430816.46140474</v>
      </c>
      <c r="F8" s="18">
        <f>F6*F7</f>
        <v>320576601.74781847</v>
      </c>
    </row>
    <row r="9" spans="1:6" x14ac:dyDescent="0.25">
      <c r="A9" t="s">
        <v>45</v>
      </c>
      <c r="B9" s="18">
        <f>B8*(1-Assumptions!B8)</f>
        <v>168530009.67499337</v>
      </c>
      <c r="C9" s="18">
        <f>C8*(1-Assumptions!B8)</f>
        <v>181036189.3411349</v>
      </c>
      <c r="D9" s="18">
        <f>D8*(1-Assumptions!B8)</f>
        <v>194470420.51657993</v>
      </c>
      <c r="E9" s="18">
        <f>E8*(1-Assumptions!B8)</f>
        <v>208901571.5229833</v>
      </c>
      <c r="F9" s="18">
        <f>F8*(1-Assumptions!B8)</f>
        <v>224403621.22347292</v>
      </c>
    </row>
    <row r="10" spans="1:6" x14ac:dyDescent="0.25">
      <c r="A10" t="s">
        <v>46</v>
      </c>
      <c r="B10" s="18">
        <f>B6*Assumptions!B9</f>
        <v>28555048.135009952</v>
      </c>
      <c r="C10" s="18">
        <f>C6*Assumptions!B9</f>
        <v>30674045.001149356</v>
      </c>
      <c r="D10" s="18">
        <f>D6*Assumptions!B9</f>
        <v>32950287.188588127</v>
      </c>
      <c r="E10" s="18">
        <f>E6*Assumptions!B9</f>
        <v>35395443.469218135</v>
      </c>
      <c r="F10" s="18">
        <f>F6*Assumptions!B9</f>
        <v>38022048.5245579</v>
      </c>
    </row>
    <row r="11" spans="1:6" x14ac:dyDescent="0.25">
      <c r="A11" t="s">
        <v>47</v>
      </c>
      <c r="B11" s="18">
        <f>-B6*Assumptions!B10</f>
        <v>-30801070.64843865</v>
      </c>
      <c r="C11" s="18">
        <f>-C6*Assumptions!B10</f>
        <v>-33086739.083287437</v>
      </c>
      <c r="D11" s="18">
        <f>-D6*Assumptions!B10</f>
        <v>-35542021.10896537</v>
      </c>
      <c r="E11" s="18">
        <f>-E6*Assumptions!B10</f>
        <v>-38179503.3149162</v>
      </c>
      <c r="F11" s="18">
        <f>-F6*Assumptions!B10</f>
        <v>-41012706.30909628</v>
      </c>
    </row>
    <row r="12" spans="1:6" x14ac:dyDescent="0.25">
      <c r="A12" t="s">
        <v>48</v>
      </c>
      <c r="B12" s="18">
        <f>-(B6-Assumptions!B29)*Assumptions!B11</f>
        <v>13975413.524968749</v>
      </c>
      <c r="C12" s="18">
        <f>-(C6-B6)*Assumptions!B11</f>
        <v>15012493.109720103</v>
      </c>
      <c r="D12" s="18">
        <f>-(D6-C6)*Assumptions!B11</f>
        <v>16126531.709901402</v>
      </c>
      <c r="E12" s="18">
        <f>-(E6-D6)*Assumptions!B11</f>
        <v>17323240.256614823</v>
      </c>
      <c r="F12" s="18">
        <f>-(F6-E6)*Assumptions!B11</f>
        <v>18608753.474508516</v>
      </c>
    </row>
    <row r="13" spans="1:6" x14ac:dyDescent="0.25">
      <c r="A13" s="19" t="s">
        <v>49</v>
      </c>
      <c r="B13" s="20">
        <f>B9+B10+B11+B12</f>
        <v>180259400.6865334</v>
      </c>
      <c r="C13" s="20">
        <f>C9+C10+C11+C12</f>
        <v>193635988.36871693</v>
      </c>
      <c r="D13" s="20">
        <f>D9+D10+D11+D12</f>
        <v>208005218.3061041</v>
      </c>
      <c r="E13" s="20">
        <f>E9+E10+E11+E12</f>
        <v>223440751.9339001</v>
      </c>
      <c r="F13" s="20">
        <f>F9+F10+F11+F12</f>
        <v>240021716.9134431</v>
      </c>
    </row>
    <row r="14" spans="1:6" x14ac:dyDescent="0.25">
      <c r="A14" t="s">
        <v>50</v>
      </c>
      <c r="B14" s="21">
        <f>1/(1+Assumptions!$B$26)^(1-0.5*Assumptions!$B$32)</f>
        <v>0.9604280741753878</v>
      </c>
      <c r="C14" s="21">
        <f>1/(1+Assumptions!$B$26)^(2-0.5*Assumptions!$B$32)</f>
        <v>0.8859200673113548</v>
      </c>
      <c r="D14" s="21">
        <f>1/(1+Assumptions!$B$26)^(3-0.5*Assumptions!$B$32)</f>
        <v>0.8171922362211476</v>
      </c>
      <c r="E14" s="21">
        <f>1/(1+Assumptions!$B$26)^(4-0.5*Assumptions!$B$32)</f>
        <v>0.7537961669237387</v>
      </c>
      <c r="F14" s="21">
        <f>1/(1+Assumptions!$B$26)^(5-0.5*Assumptions!$B$32)</f>
        <v>0.6953182324595081</v>
      </c>
    </row>
    <row r="15" spans="1:6" x14ac:dyDescent="0.25">
      <c r="A15" s="19" t="s">
        <v>51</v>
      </c>
      <c r="B15" s="20">
        <f>B13*B14</f>
        <v>173126189.05337685</v>
      </c>
      <c r="C15" s="20">
        <f>C13*C14</f>
        <v>171546007.8495144</v>
      </c>
      <c r="D15" s="20">
        <f>D13*D14</f>
        <v>169980249.49323317</v>
      </c>
      <c r="E15" s="20">
        <f>E13*E14</f>
        <v>168428782.34233186</v>
      </c>
      <c r="F15" s="20">
        <f>F13*F14</f>
        <v>166891475.95615166</v>
      </c>
    </row>
    <row r="17" spans="1:2" x14ac:dyDescent="0.25">
      <c r="A17" s="22" t="s">
        <v>52</v>
      </c>
      <c r="B17" s="23">
        <f>SUM(B15:F15)</f>
        <v>849972704.694608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240021716.9134431</v>
      </c>
    </row>
    <row r="5" spans="1:2" x14ac:dyDescent="0.25">
      <c r="A5" t="s">
        <v>56</v>
      </c>
      <c r="B5" s="18">
        <f>IF(Assumptions!$B$33=0,B4,B4-Forecast!F11-Forecast!F10-Forecast!F12)</f>
        <v>224403621.22347292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0.24555005586691356</v>
      </c>
    </row>
    <row r="7" spans="1:2" x14ac:dyDescent="0.25">
      <c r="A7" t="s">
        <v>58</v>
      </c>
      <c r="B7" s="18">
        <f>-MAX(Forecast!F9,0)*B6</f>
        <v>-55102321.728161484</v>
      </c>
    </row>
    <row r="8" spans="1:2" x14ac:dyDescent="0.25">
      <c r="A8" t="s">
        <v>59</v>
      </c>
      <c r="B8" s="18">
        <f>IF(OR(Assumptions!$B$33=0,Assumptions!B12&lt;=0),B5,MAX(B5+B7,0))</f>
        <v>169301299.49531144</v>
      </c>
    </row>
    <row r="9" spans="1:2" x14ac:dyDescent="0.25">
      <c r="A9" t="s">
        <v>60</v>
      </c>
      <c r="B9" s="18">
        <f>B8*(1+Assumptions!B12)/(Assumptions!B26-Assumptions!B12)</f>
        <v>2936155250.1519055</v>
      </c>
    </row>
    <row r="10" spans="1:2" x14ac:dyDescent="0.25">
      <c r="A10" t="s">
        <v>61</v>
      </c>
      <c r="B10" s="18">
        <f>B9/(1+Assumptions!B26)^(5-0.5*Assumptions!B32)</f>
        <v>2041562278.7623277</v>
      </c>
    </row>
    <row r="11" spans="1:2" x14ac:dyDescent="0.25">
      <c r="A11" t="s">
        <v>62</v>
      </c>
      <c r="B11" s="18">
        <f>Forecast!B17+B10</f>
        <v>2891534983.456936</v>
      </c>
    </row>
    <row r="12" spans="1:2" x14ac:dyDescent="0.25">
      <c r="A12" t="s">
        <v>63</v>
      </c>
      <c r="B12" s="18">
        <f>-Assumptions!B30</f>
        <v>760159000</v>
      </c>
    </row>
    <row r="13" spans="1:2" x14ac:dyDescent="0.25">
      <c r="A13" t="s">
        <v>64</v>
      </c>
      <c r="B13" s="18">
        <f>B11+B12</f>
        <v>3651693983.456936</v>
      </c>
    </row>
    <row r="14" spans="1:2" x14ac:dyDescent="0.25">
      <c r="A14" s="19" t="s">
        <v>65</v>
      </c>
      <c r="B14" s="24">
        <f>B13/Assumptions!B31</f>
        <v>5.002496688546998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358598650.27237636</v>
      </c>
    </row>
    <row r="18" spans="1:2" x14ac:dyDescent="0.25">
      <c r="A18" t="s">
        <v>60</v>
      </c>
      <c r="B18" s="18">
        <f>B17*Assumptions!B13</f>
        <v>5573309983.464455</v>
      </c>
    </row>
    <row r="19" spans="1:2" x14ac:dyDescent="0.25">
      <c r="A19" t="s">
        <v>61</v>
      </c>
      <c r="B19" s="18">
        <f>B18/(1+Assumptions!B26)^(5-0.5*Assumptions!B32)</f>
        <v>3875224046.651435</v>
      </c>
    </row>
    <row r="20" spans="1:2" x14ac:dyDescent="0.25">
      <c r="A20" t="s">
        <v>62</v>
      </c>
      <c r="B20" s="18">
        <f>Forecast!B17+B19</f>
        <v>4725196751.346043</v>
      </c>
    </row>
    <row r="21" spans="1:2" x14ac:dyDescent="0.25">
      <c r="A21" t="s">
        <v>63</v>
      </c>
      <c r="B21" s="18">
        <f>-Assumptions!B30</f>
        <v>760159000</v>
      </c>
    </row>
    <row r="22" spans="1:2" x14ac:dyDescent="0.25">
      <c r="A22" t="s">
        <v>64</v>
      </c>
      <c r="B22" s="18">
        <f>B20+B21</f>
        <v>5485355751.346043</v>
      </c>
    </row>
    <row r="23" spans="1:2" x14ac:dyDescent="0.25">
      <c r="A23" s="19" t="s">
        <v>65</v>
      </c>
      <c r="B23" s="25">
        <f>B22/Assumptions!B31</f>
        <v>7.5144505826399595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6.7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4.018505589909804</v>
      </c>
    </row>
    <row r="29" spans="1:2" x14ac:dyDescent="0.25">
      <c r="A29" s="19" t="s">
        <v>73</v>
      </c>
      <c r="B29" s="12">
        <f>B28/B26-1</f>
        <v>-0.4002230462821188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0.064102</v>
      </c>
      <c r="B5" s="31">
        <v>6.35803746780402</v>
      </c>
      <c r="C5" s="31">
        <v>6.580972861611288</v>
      </c>
      <c r="D5" s="31">
        <v>6.858002831347617</v>
      </c>
      <c r="E5" s="31">
        <v>7.212921249481958</v>
      </c>
      <c r="F5" s="31">
        <v>7.6858740415854045</v>
      </c>
    </row>
    <row r="6" spans="1:6" x14ac:dyDescent="0.25">
      <c r="A6" s="30">
        <v>0.074102</v>
      </c>
      <c r="B6" s="31">
        <v>5.496268953193859</v>
      </c>
      <c r="C6" s="31">
        <v>5.609085912836369</v>
      </c>
      <c r="D6" s="31">
        <v>5.742650025930113</v>
      </c>
      <c r="E6" s="31">
        <v>5.904017827366222</v>
      </c>
      <c r="F6" s="31">
        <v>6.103855148179817</v>
      </c>
    </row>
    <row r="7" spans="1:6" x14ac:dyDescent="0.25">
      <c r="A7" s="30">
        <v>0.084102</v>
      </c>
      <c r="B7" s="31">
        <v>4.882828982228089</v>
      </c>
      <c r="C7" s="31">
        <v>4.938826002806023</v>
      </c>
      <c r="D7" s="32">
        <v>5.00252153497693</v>
      </c>
      <c r="E7" s="31">
        <v>5.076050022456288</v>
      </c>
      <c r="F7" s="31">
        <v>5.16241530072181</v>
      </c>
    </row>
    <row r="8" spans="1:6" x14ac:dyDescent="0.25">
      <c r="A8" s="30">
        <v>0.094102</v>
      </c>
      <c r="B8" s="31">
        <v>4.423596222428598</v>
      </c>
      <c r="C8" s="31">
        <v>4.448164338031301</v>
      </c>
      <c r="D8" s="31">
        <v>4.474830183646373</v>
      </c>
      <c r="E8" s="31">
        <v>4.504084632416392</v>
      </c>
      <c r="F8" s="31">
        <v>4.5365846679852995</v>
      </c>
    </row>
    <row r="9" spans="1:6" x14ac:dyDescent="0.25">
      <c r="A9" s="30">
        <v>0.104102</v>
      </c>
      <c r="B9" s="31">
        <v>4.0739664019802895</v>
      </c>
      <c r="C9" s="31">
        <v>4.083422061839268</v>
      </c>
      <c r="D9" s="31">
        <v>4.092877721698245</v>
      </c>
      <c r="E9" s="31">
        <v>4.102333381557223</v>
      </c>
      <c r="F9" s="31">
        <v>4.111789041416201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1972235000</v>
      </c>
      <c r="C5" s="18">
        <v>1899273000</v>
      </c>
      <c r="D5" s="18">
        <v>1673323000</v>
      </c>
      <c r="E5" s="18">
        <v>1591088000</v>
      </c>
      <c r="F5" s="8" t="s">
        <v>84</v>
      </c>
    </row>
    <row r="6" spans="1:6" x14ac:dyDescent="0.25">
      <c r="A6" t="s">
        <v>44</v>
      </c>
      <c r="B6" s="18">
        <v>246476000</v>
      </c>
      <c r="C6" s="18">
        <v>219043000</v>
      </c>
      <c r="D6" s="18">
        <v>167914000</v>
      </c>
      <c r="E6" s="18">
        <v>181242000</v>
      </c>
      <c r="F6" s="8" t="s">
        <v>85</v>
      </c>
    </row>
    <row r="7" spans="1:6" x14ac:dyDescent="0.25">
      <c r="A7" t="s">
        <v>86</v>
      </c>
      <c r="B7" s="18">
        <v>18473000</v>
      </c>
      <c r="C7" s="18">
        <v>26338000</v>
      </c>
      <c r="D7" s="18">
        <v>32199000</v>
      </c>
      <c r="E7" s="18">
        <v>18197000</v>
      </c>
      <c r="F7" s="8" t="s">
        <v>87</v>
      </c>
    </row>
    <row r="8" spans="1:6" x14ac:dyDescent="0.25">
      <c r="A8" t="s">
        <v>88</v>
      </c>
      <c r="B8" s="18">
        <v>73477000</v>
      </c>
      <c r="C8" s="18">
        <v>3971000</v>
      </c>
      <c r="D8" s="18">
        <v>20526000</v>
      </c>
      <c r="E8" s="18">
        <v>10407000</v>
      </c>
      <c r="F8" s="8" t="s">
        <v>89</v>
      </c>
    </row>
    <row r="9" spans="1:6" x14ac:dyDescent="0.25">
      <c r="A9" t="s">
        <v>90</v>
      </c>
      <c r="B9" s="18">
        <v>123637000</v>
      </c>
      <c r="C9" s="18">
        <v>-21576000</v>
      </c>
      <c r="D9" s="18">
        <v>-49943000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24313000</v>
      </c>
      <c r="C10" s="18">
        <v>100736000</v>
      </c>
      <c r="D10" s="18">
        <v>66220000</v>
      </c>
      <c r="E10" s="18">
        <v>101528000</v>
      </c>
      <c r="F10" s="8" t="s">
        <v>93</v>
      </c>
    </row>
    <row r="11" spans="1:6" x14ac:dyDescent="0.25">
      <c r="A11" t="s">
        <v>94</v>
      </c>
      <c r="B11" s="18">
        <v>784472000</v>
      </c>
      <c r="C11" s="18">
        <v>1100171000</v>
      </c>
      <c r="D11" s="18">
        <v>968943000</v>
      </c>
      <c r="E11" s="18">
        <v>802234000</v>
      </c>
      <c r="F11" s="8" t="s">
        <v>95</v>
      </c>
    </row>
    <row r="12" spans="1:6" x14ac:dyDescent="0.25">
      <c r="A12" t="s">
        <v>32</v>
      </c>
      <c r="B12" s="34">
        <v>729974293</v>
      </c>
      <c r="C12" s="34">
        <v>727983495</v>
      </c>
      <c r="D12" s="34">
        <v>726699913</v>
      </c>
      <c r="E12" s="34">
        <v>736573592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2026-09-19T00:06:53Z</dcterms:modified>
</cp:coreProperties>
</file>