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<sst xmlns="http://schemas.openxmlformats.org/spreadsheetml/2006/main" count="113" uniqueCount="101">
  <si>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Airtel Africa Plc (AAF.L)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</si>
  <si>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</si>
  <si>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</si>
  <si>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</si>
  <si>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</si>
  <si>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</si>
  <si>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</si>
  <si>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</si>
  <si>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</si>
  <si>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</si>
  <si>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</si>
  <si>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</si>
  <si>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</si>
  <si>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</si>
  <si>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</si>
  <si>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</si>
  <si>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</si>
  <si>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</si>
  <si>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</si>
  <si>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</si>
  <si>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</si>
  <si>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</si>
  <si>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12.7%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</si>
  <si>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</si>
  <si>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</si>
  <si>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</si>
  <si>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</si>
  <si>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</si>
  <si>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</si>
  <si>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</si>
  <si>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</si>
  <si>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</si>
  <si>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</si>
  <si>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</si>
  <si>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</si>
  <si>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</si>
  <si>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</si>
  <si>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</si>
  <si>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</si>
  <si>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</si>
  <si>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</si>
  <si>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</si>
  <si>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</si>
  <si>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</si>
  <si>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</si>
  <si>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</si>
  <si>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</si>
  <si>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</si>
  <si>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</si>
  <si>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</si>
  <si>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</si>
  <si>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</si>
  <si>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</si>
  <si>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</si>
  <si>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</si>
  <si>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</si>
  <si>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</si>
  <si>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</si>
  <si>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</si>
  <si>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</si>
  <si>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</si>
  <si>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</si>
  <si>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</si>
  <si>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</si>
  <si>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</si>
  <si>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</si>
  <si>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</si>
  <si>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</si>
  <si>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</si>
  <si>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</si>
  <si>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</si>
  <si>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</si>
  <si>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</si>
  <si>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</si>
  <si>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</si>
  <si>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</si>
  <si>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</si>
  <si>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</si>
  <si>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</si>
  <si>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</si>
  <si>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</si>
  <si>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</si>
  <si>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</si>
  <si>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</si>
  <si>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</si>
  <si>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</si>
  <si>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</si>
  <si>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</si>
  <si>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</si>
  <si>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</si>
  <si>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</si>
  <si>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</si>
  <si>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</si>
  <si>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</si>
  <si>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</si>
  <si>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</si>
  <si>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</si>
  <si>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</si>
  <si>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Reports in USD, trades in GBp. Modelled in USD,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</si>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</sst>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0.06874635554455533</v>
      </c>
    </row>
    <row r="7" spans="1:2" x14ac:dyDescent="0.25">
      <c r="A7" t="s">
        <v>5</v>
      </c>
      <c r="B7" s="6">
        <v>0.3235674713600532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0.1612116487300841</v>
      </c>
    </row>
    <row r="10" spans="1:2" x14ac:dyDescent="0.25">
      <c r="A10" t="s">
        <v>8</v>
      </c>
      <c r="B10" s="6">
        <v>0.19004878816189988</v>
      </c>
    </row>
    <row r="11" spans="1:2" x14ac:dyDescent="0.25">
      <c r="A11" t="s">
        <v>9</v>
      </c>
      <c r="B11" s="6">
        <v>0.6340579710144928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5.363430545225339</v>
      </c>
    </row>
    <row r="14" spans="1:3" x14ac:dyDescent="0.25">
      <c r="A14" t="s">
        <v>12</v>
      </c>
      <c r="B14" s="6">
        <v>0.25033361063537385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0.6415500000000001</v>
      </c>
      <c r="C19" s="8" t="s">
        <v>19</v>
      </c>
    </row>
    <row r="20" spans="1:2" x14ac:dyDescent="0.25">
      <c r="A20" t="s">
        <v>20</v>
      </c>
      <c r="B20" s="10">
        <f>B17+B19*B18</f>
        <v>0.08028525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11484165120</v>
      </c>
    </row>
    <row r="23" spans="1:2" x14ac:dyDescent="0.25">
      <c r="A23" t="s">
        <v>24</v>
      </c>
      <c r="B23" s="11">
        <v>6412000000</v>
      </c>
    </row>
    <row r="24" spans="1:2" x14ac:dyDescent="0.25">
      <c r="A24" t="s">
        <v>25</v>
      </c>
      <c r="B24" s="10">
        <f>B22/(B22+B23)</f>
        <v>0.6417109499713869</v>
      </c>
    </row>
    <row r="25" spans="1:2" x14ac:dyDescent="0.25">
      <c r="A25" t="s">
        <v>26</v>
      </c>
      <c r="B25" s="10">
        <f>1-B24</f>
        <v>0.3582890500286131</v>
      </c>
    </row>
    <row r="26" spans="1:2" x14ac:dyDescent="0.25">
      <c r="A26" t="s">
        <v>27</v>
      </c>
      <c r="B26" s="12">
        <f>B24*B20+B25*B21*(1-B8)</f>
        <v>0.06898651523508517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6415000000</v>
      </c>
      <c r="C29" s="8" t="s">
        <v>30</v>
      </c>
    </row>
    <row r="30" spans="1:2" x14ac:dyDescent="0.25">
      <c r="A30" t="s">
        <v>31</v>
      </c>
      <c r="B30" s="11">
        <v>5534000000</v>
      </c>
    </row>
    <row r="31" spans="1:2" x14ac:dyDescent="0.25">
      <c r="A31" t="s">
        <v>32</v>
      </c>
      <c r="B31" s="13">
        <v>3648051543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0.06874635554455533</v>
      </c>
      <c r="C5" s="10">
        <f>Assumptions!B6</f>
        <v>0.06874635554455533</v>
      </c>
      <c r="D5" s="10">
        <f>Assumptions!B6</f>
        <v>0.06874635554455533</v>
      </c>
      <c r="E5" s="10">
        <f>Assumptions!B6</f>
        <v>0.06874635554455533</v>
      </c>
      <c r="F5" s="10">
        <f>Assumptions!B6</f>
        <v>0.06874635554455533</v>
      </c>
    </row>
    <row r="6" spans="1:6" x14ac:dyDescent="0.25">
      <c r="A6" t="s">
        <v>43</v>
      </c>
      <c r="B6" s="18">
        <f>Assumptions!B29*(1+B5)</f>
        <v>6856007870.818322</v>
      </c>
      <c r="C6" s="18">
        <f>B6*(1+C5)</f>
        <v>7327333425.521869</v>
      </c>
      <c r="D6" s="18">
        <f>C6*(1+D5)</f>
        <v>7831060894.386299</v>
      </c>
      <c r="E6" s="18">
        <f>D6*(1+E5)</f>
        <v>8369417790.922843</v>
      </c>
      <c r="F6" s="18">
        <f>E6*(1+F5)</f>
        <v>8944784762.078552</v>
      </c>
    </row>
    <row r="7" spans="1:6" x14ac:dyDescent="0.25">
      <c r="A7" t="s">
        <v>5</v>
      </c>
      <c r="B7" s="10">
        <f>Assumptions!B7</f>
        <v>0.3235674713600532</v>
      </c>
      <c r="C7" s="10">
        <f>Assumptions!B7</f>
        <v>0.3235674713600532</v>
      </c>
      <c r="D7" s="10">
        <f>Assumptions!B7</f>
        <v>0.3235674713600532</v>
      </c>
      <c r="E7" s="10">
        <f>Assumptions!B7</f>
        <v>0.3235674713600532</v>
      </c>
      <c r="F7" s="10">
        <f>Assumptions!B7</f>
        <v>0.3235674713600532</v>
      </c>
    </row>
    <row r="8" spans="1:6" x14ac:dyDescent="0.25">
      <c r="A8" t="s">
        <v>44</v>
      </c>
      <c r="B8" s="18">
        <f>B6*B7</f>
        <v>2218381130.385307</v>
      </c>
      <c r="C8" s="18">
        <f>C6*C7</f>
        <v>2370886748.308108</v>
      </c>
      <c r="D8" s="18">
        <f>D6*D7</f>
        <v>2533876571.6631713</v>
      </c>
      <c r="E8" s="18">
        <f>E6*E7</f>
        <v>2708071351.3647466</v>
      </c>
      <c r="F8" s="18">
        <f>F6*F7</f>
        <v>2894241387.325692</v>
      </c>
    </row>
    <row r="9" spans="1:6" x14ac:dyDescent="0.25">
      <c r="A9" t="s">
        <v>45</v>
      </c>
      <c r="B9" s="18">
        <f>B8*(1-Assumptions!B8)</f>
        <v>1663785847.78898</v>
      </c>
      <c r="C9" s="18">
        <f>C8*(1-Assumptions!B8)</f>
        <v>1778165061.231081</v>
      </c>
      <c r="D9" s="18">
        <f>D8*(1-Assumptions!B8)</f>
        <v>1900407428.7473783</v>
      </c>
      <c r="E9" s="18">
        <f>E8*(1-Assumptions!B8)</f>
        <v>2031053513.52356</v>
      </c>
      <c r="F9" s="18">
        <f>F8*(1-Assumptions!B8)</f>
        <v>2170681040.4942694</v>
      </c>
    </row>
    <row r="10" spans="1:6" x14ac:dyDescent="0.25">
      <c r="A10" t="s">
        <v>46</v>
      </c>
      <c r="B10" s="18">
        <f>B6*Assumptions!B9</f>
        <v>1105268332.5610552</v>
      </c>
      <c r="C10" s="18">
        <f>C6*Assumptions!B9</f>
        <v>1181251502.3234353</v>
      </c>
      <c r="D10" s="18">
        <f>D6*Assumptions!B9</f>
        <v>1262458238.0897021</v>
      </c>
      <c r="E10" s="18">
        <f>E6*Assumptions!B9</f>
        <v>1349247640.9855697</v>
      </c>
      <c r="F10" s="18">
        <f>F6*Assumptions!B9</f>
        <v>1442003499.0304163</v>
      </c>
    </row>
    <row r="11" spans="1:6" x14ac:dyDescent="0.25">
      <c r="A11" t="s">
        <v>47</v>
      </c>
      <c r="B11" s="18">
        <f>-B6*Assumptions!B10</f>
        <v>-1302975987.4774694</v>
      </c>
      <c r="C11" s="18">
        <f>-C6*Assumptions!B10</f>
        <v>-1392550837.9786139</v>
      </c>
      <c r="D11" s="18">
        <f>-D6*Assumptions!B10</f>
        <v>-1488283633.00016</v>
      </c>
      <c r="E11" s="18">
        <f>-E6*Assumptions!B10</f>
        <v>-1590597708.7855315</v>
      </c>
      <c r="F11" s="18">
        <f>-F6*Assumptions!B10</f>
        <v>-1699945504.4020567</v>
      </c>
    </row>
    <row r="12" spans="1:6" x14ac:dyDescent="0.25">
      <c r="A12" t="s">
        <v>48</v>
      </c>
      <c r="B12" s="18">
        <f>-(B6-Assumptions!B29)*Assumptions!B11</f>
        <v>-279624555.7724869</v>
      </c>
      <c r="C12" s="18">
        <f>-(C6-B6)*Assumptions!B11</f>
        <v>-298847724.902611</v>
      </c>
      <c r="D12" s="18">
        <f>-(D6-C6)*Assumptions!B11</f>
        <v>-319392416.85244685</v>
      </c>
      <c r="E12" s="18">
        <f>-(E6-D6)*Assumptions!B11</f>
        <v>-341349481.4996202</v>
      </c>
      <c r="F12" s="18">
        <f>-(F6-E6)*Assumptions!B11</f>
        <v>-364816014.3197432</v>
      </c>
    </row>
    <row r="13" spans="1:6" x14ac:dyDescent="0.25">
      <c r="A13" s="19" t="s">
        <v>49</v>
      </c>
      <c r="B13" s="20">
        <f>B9+B10+B11+B12</f>
        <v>1186453637.1000788</v>
      </c>
      <c r="C13" s="20">
        <f>C9+C10+C11+C12</f>
        <v>1268018000.6732914</v>
      </c>
      <c r="D13" s="20">
        <f>D9+D10+D11+D12</f>
        <v>1355189616.9844737</v>
      </c>
      <c r="E13" s="20">
        <f>E9+E10+E11+E12</f>
        <v>1448353964.2239778</v>
      </c>
      <c r="F13" s="20">
        <f>F9+F10+F11+F12</f>
        <v>1547923020.802886</v>
      </c>
    </row>
    <row r="14" spans="1:6" x14ac:dyDescent="0.25">
      <c r="A14" t="s">
        <v>50</v>
      </c>
      <c r="B14" s="21">
        <f>1/(1+Assumptions!$B$26)^(1-0.5*Assumptions!$B$32)</f>
        <v>0.9671946522561723</v>
      </c>
      <c r="C14" s="21">
        <f>1/(1+Assumptions!$B$26)^(2-0.5*Assumptions!$B$32)</f>
        <v>0.9047772244755327</v>
      </c>
      <c r="D14" s="21">
        <f>1/(1+Assumptions!$B$26)^(3-0.5*Assumptions!$B$32)</f>
        <v>0.8463878744780606</v>
      </c>
      <c r="E14" s="21">
        <f>1/(1+Assumptions!$B$26)^(4-0.5*Assumptions!$B$32)</f>
        <v>0.7917666522593393</v>
      </c>
      <c r="F14" s="21">
        <f>1/(1+Assumptions!$B$26)^(5-0.5*Assumptions!$B$32)</f>
        <v>0.7406703835597201</v>
      </c>
    </row>
    <row r="15" spans="1:6" x14ac:dyDescent="0.25">
      <c r="A15" s="19" t="s">
        <v>51</v>
      </c>
      <c r="B15" s="20">
        <f>B13*B14</f>
        <v>1147531612.9530816</v>
      </c>
      <c r="C15" s="20">
        <f>C13*C14</f>
        <v>1147273807.2341948</v>
      </c>
      <c r="D15" s="20">
        <f>D13*D14</f>
        <v>1147016059.4342258</v>
      </c>
      <c r="E15" s="20">
        <f>E13*E14</f>
        <v>1146758369.5401618</v>
      </c>
      <c r="F15" s="20">
        <f>F13*F14</f>
        <v>1146500737.5389943</v>
      </c>
    </row>
    <row r="17" spans="1:2" x14ac:dyDescent="0.25">
      <c r="A17" s="22" t="s">
        <v>52</v>
      </c>
      <c r="B17" s="23">
        <f>SUM(B15:F15)</f>
        <v>5735080586.700659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1547923020.802886</v>
      </c>
    </row>
    <row r="5" spans="1:2" x14ac:dyDescent="0.25">
      <c r="A5" t="s">
        <v>56</v>
      </c>
      <c r="B5" s="18">
        <f>IF(Assumptions!$B$33=0,B4,B4-Forecast!F11-Forecast!F10-Forecast!F12)</f>
        <v>2320266242.188887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0.0998667335822277</v>
      </c>
    </row>
    <row r="7" spans="1:2" x14ac:dyDescent="0.25">
      <c r="A7" t="s">
        <v>58</v>
      </c>
      <c r="B7" s="18">
        <f>-MAX(Forecast!F9,0)*B6</f>
        <v>-231717410.64851418</v>
      </c>
    </row>
    <row r="8" spans="1:2" x14ac:dyDescent="0.25">
      <c r="A8" t="s">
        <v>59</v>
      </c>
      <c r="B8" s="18">
        <f>IF(OR(Assumptions!$B$33=0,Assumptions!B12&lt;=0),B5,MAX(B5+B7,0))</f>
        <v>2088548831.5403728</v>
      </c>
    </row>
    <row r="9" spans="1:2" x14ac:dyDescent="0.25">
      <c r="A9" t="s">
        <v>60</v>
      </c>
      <c r="B9" s="18">
        <f>B8*(1+Assumptions!B12)/(Assumptions!B26-Assumptions!B12)</f>
        <v>48668609933.922104</v>
      </c>
    </row>
    <row r="10" spans="1:2" x14ac:dyDescent="0.25">
      <c r="A10" t="s">
        <v>61</v>
      </c>
      <c r="B10" s="18">
        <f>B9/(1+Assumptions!B26)^(5-0.5*Assumptions!B32)</f>
        <v>36047397987.07649</v>
      </c>
    </row>
    <row r="11" spans="1:2" x14ac:dyDescent="0.25">
      <c r="A11" t="s">
        <v>62</v>
      </c>
      <c r="B11" s="18">
        <f>Forecast!B17+B10</f>
        <v>41782478573.77715</v>
      </c>
    </row>
    <row r="12" spans="1:2" x14ac:dyDescent="0.25">
      <c r="A12" t="s">
        <v>63</v>
      </c>
      <c r="B12" s="18">
        <f>-Assumptions!B30</f>
        <v>-5534000000</v>
      </c>
    </row>
    <row r="13" spans="1:2" x14ac:dyDescent="0.25">
      <c r="A13" t="s">
        <v>64</v>
      </c>
      <c r="B13" s="18">
        <f>B11+B12</f>
        <v>36248478573.77715</v>
      </c>
    </row>
    <row r="14" spans="1:2" x14ac:dyDescent="0.25">
      <c r="A14" s="19" t="s">
        <v>65</v>
      </c>
      <c r="B14" s="24">
        <f>B13/Assumptions!B31</f>
        <v>9.936394304332655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4336244886.356109</v>
      </c>
    </row>
    <row r="18" spans="1:2" x14ac:dyDescent="0.25">
      <c r="A18" t="s">
        <v>60</v>
      </c>
      <c r="B18" s="18">
        <f>B17*Assumptions!B13</f>
        <v>23257148275.059532</v>
      </c>
    </row>
    <row r="19" spans="1:2" x14ac:dyDescent="0.25">
      <c r="A19" t="s">
        <v>61</v>
      </c>
      <c r="B19" s="18">
        <f>B18/(1+Assumptions!B26)^(5-0.5*Assumptions!B32)</f>
        <v>17225880933.393627</v>
      </c>
    </row>
    <row r="20" spans="1:2" x14ac:dyDescent="0.25">
      <c r="A20" t="s">
        <v>62</v>
      </c>
      <c r="B20" s="18">
        <f>Forecast!B17+B19</f>
        <v>22960961520.094284</v>
      </c>
    </row>
    <row r="21" spans="1:2" x14ac:dyDescent="0.25">
      <c r="A21" t="s">
        <v>63</v>
      </c>
      <c r="B21" s="18">
        <f>-Assumptions!B30</f>
        <v>-5534000000</v>
      </c>
    </row>
    <row r="22" spans="1:2" x14ac:dyDescent="0.25">
      <c r="A22" t="s">
        <v>64</v>
      </c>
      <c r="B22" s="18">
        <f>B20+B21</f>
        <v>17426961520.094284</v>
      </c>
    </row>
    <row r="23" spans="1:2" x14ac:dyDescent="0.25">
      <c r="A23" s="19" t="s">
        <v>65</v>
      </c>
      <c r="B23" s="25">
        <f>B22/Assumptions!B31</f>
        <v>4.77706011405834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316.4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741.881007944389</v>
      </c>
    </row>
    <row r="29" spans="1:2" x14ac:dyDescent="0.25">
      <c r="A29" s="19" t="s">
        <v>73</v>
      </c>
      <c r="B29" s="12">
        <f>B28/B26-1</f>
        <v>1.34475666227683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0.048987</v>
      </c>
      <c r="B5" s="31">
        <v>14.53060314921551</v>
      </c>
      <c r="C5" s="31">
        <v>16.73698962849502</v>
      </c>
      <c r="D5" s="31">
        <v>19.858931472204034</v>
      </c>
      <c r="E5" s="31">
        <v>24.61973043767351</v>
      </c>
      <c r="F5" s="31">
        <v>32.77693688069145</v>
      </c>
    </row>
    <row r="6" spans="1:6" x14ac:dyDescent="0.25">
      <c r="A6" s="30">
        <v>0.058987</v>
      </c>
      <c r="B6" s="31">
        <v>10.753079518716332</v>
      </c>
      <c r="C6" s="31">
        <v>11.922705879784557</v>
      </c>
      <c r="D6" s="31">
        <v>13.433583511315693</v>
      </c>
      <c r="E6" s="31">
        <v>15.462300851469749</v>
      </c>
      <c r="F6" s="31">
        <v>18.33268312346529</v>
      </c>
    </row>
    <row r="7" spans="1:6" x14ac:dyDescent="0.25">
      <c r="A7" s="30">
        <v>0.068987</v>
      </c>
      <c r="B7" s="31">
        <v>8.381236775622023</v>
      </c>
      <c r="C7" s="31">
        <v>9.080351342558608</v>
      </c>
      <c r="D7" s="32">
        <v>9.936263460284447</v>
      </c>
      <c r="E7" s="31">
        <v>11.009299988056199</v>
      </c>
      <c r="F7" s="31">
        <v>12.395287746443152</v>
      </c>
    </row>
    <row r="8" spans="1:6" x14ac:dyDescent="0.25">
      <c r="A8" s="30">
        <v>0.078987</v>
      </c>
      <c r="B8" s="31">
        <v>6.755719981619195</v>
      </c>
      <c r="C8" s="31">
        <v>7.206718782420203</v>
      </c>
      <c r="D8" s="31">
        <v>7.739584647917254</v>
      </c>
      <c r="E8" s="31">
        <v>8.379385575138976</v>
      </c>
      <c r="F8" s="31">
        <v>9.162587472782704</v>
      </c>
    </row>
    <row r="9" spans="1:6" x14ac:dyDescent="0.25">
      <c r="A9" s="30">
        <v>0.088987</v>
      </c>
      <c r="B9" s="31">
        <v>5.573662661099975</v>
      </c>
      <c r="C9" s="31">
        <v>5.8802976718300375</v>
      </c>
      <c r="D9" s="31">
        <v>6.23350133633374</v>
      </c>
      <c r="E9" s="31">
        <v>6.64511575213435</v>
      </c>
      <c r="F9" s="31">
        <v>7.131370034934786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6415000000</v>
      </c>
      <c r="C5" s="18">
        <v>4955000000</v>
      </c>
      <c r="D5" s="18">
        <v>4979000000</v>
      </c>
      <c r="E5" s="18">
        <v>5255000000</v>
      </c>
      <c r="F5" s="8" t="s">
        <v>84</v>
      </c>
    </row>
    <row r="6" spans="1:6" x14ac:dyDescent="0.25">
      <c r="A6" t="s">
        <v>44</v>
      </c>
      <c r="B6" s="18">
        <v>2126000000</v>
      </c>
      <c r="C6" s="18">
        <v>1464000000</v>
      </c>
      <c r="D6" s="18">
        <v>1645000000</v>
      </c>
      <c r="E6" s="18">
        <v>1771000000</v>
      </c>
      <c r="F6" s="8" t="s">
        <v>85</v>
      </c>
    </row>
    <row r="7" spans="1:6" x14ac:dyDescent="0.25">
      <c r="A7" t="s">
        <v>86</v>
      </c>
      <c r="B7" s="18">
        <v>1047000000</v>
      </c>
      <c r="C7" s="18">
        <v>831000000</v>
      </c>
      <c r="D7" s="18">
        <v>788000000</v>
      </c>
      <c r="E7" s="18">
        <v>818000000</v>
      </c>
      <c r="F7" s="8" t="s">
        <v>87</v>
      </c>
    </row>
    <row r="8" spans="1:6" x14ac:dyDescent="0.25">
      <c r="A8" t="s">
        <v>88</v>
      </c>
      <c r="B8" s="18">
        <v>875000000</v>
      </c>
      <c r="C8" s="18">
        <v>859000000</v>
      </c>
      <c r="D8" s="18">
        <v>1029000000</v>
      </c>
      <c r="E8" s="18">
        <v>1281000000</v>
      </c>
      <c r="F8" s="8" t="s">
        <v>89</v>
      </c>
    </row>
    <row r="9" spans="1:6" x14ac:dyDescent="0.25">
      <c r="A9" t="s">
        <v>90</v>
      </c>
      <c r="B9" s="18">
        <v>-401000000</v>
      </c>
      <c r="C9" s="18">
        <v>-287000000</v>
      </c>
      <c r="D9" s="18">
        <v>-175000000</v>
      </c>
      <c r="E9" s="18">
        <v>-49000000</v>
      </c>
      <c r="F9" s="8" t="s">
        <v>91</v>
      </c>
    </row>
    <row r="10" spans="1:6" x14ac:dyDescent="0.25">
      <c r="A10" t="s">
        <v>92</v>
      </c>
      <c r="B10" s="18">
        <v>6412000000</v>
      </c>
      <c r="C10" s="18">
        <v>5982000000</v>
      </c>
      <c r="D10" s="18">
        <v>4462000000</v>
      </c>
      <c r="E10" s="18">
        <v>4225000000</v>
      </c>
      <c r="F10" s="8" t="s">
        <v>93</v>
      </c>
    </row>
    <row r="11" spans="1:6" x14ac:dyDescent="0.25">
      <c r="A11" t="s">
        <v>94</v>
      </c>
      <c r="B11" s="18">
        <v>878000000</v>
      </c>
      <c r="C11" s="18">
        <v>644000000</v>
      </c>
      <c r="D11" s="18">
        <v>1007000000</v>
      </c>
      <c r="E11" s="18">
        <v>742000000</v>
      </c>
      <c r="F11" s="8" t="s">
        <v>95</v>
      </c>
    </row>
    <row r="12" spans="1:6" x14ac:dyDescent="0.25">
      <c r="A12" t="s">
        <v>32</v>
      </c>
      <c r="B12" s="34">
        <v>3648051543</v>
      </c>
      <c r="C12" s="34">
        <v>3707789495</v>
      </c>
      <c r="D12" s="34">
        <v>3750641207</v>
      </c>
      <c r="E12" s="34">
        <v>3756867853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2026-09-19T00:07:20Z</dcterms:modified>
</cp:coreProperties>
</file>