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<sst xmlns="http://schemas.openxmlformats.org/spreadsheetml/2006/main" count="112" uniqueCount="100">
  <si>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Alcoa Corporation (AAI.AX)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</si>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</sst>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0.010071437935283534</v>
      </c>
    </row>
    <row r="7" spans="1:2" x14ac:dyDescent="0.25">
      <c r="A7" t="s">
        <v>5</v>
      </c>
      <c r="B7" s="6">
        <v>0.05351731285288297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0.05299508202682337</v>
      </c>
    </row>
    <row r="10" spans="1:2" x14ac:dyDescent="0.25">
      <c r="A10" t="s">
        <v>8</v>
      </c>
      <c r="B10" s="6">
        <v>0.04645067203964468</v>
      </c>
    </row>
    <row r="11" spans="1:2" x14ac:dyDescent="0.25">
      <c r="A11" t="s">
        <v>9</v>
      </c>
      <c r="B11" s="6">
        <v>0.3712797619047619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13.416381543808834</v>
      </c>
    </row>
    <row r="14" spans="1:3" x14ac:dyDescent="0.25">
      <c r="A14" t="s">
        <v>12</v>
      </c>
      <c r="B14" s="6">
        <v>0.12555534941963697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1.4227699999999999</v>
      </c>
      <c r="C19" s="8" t="s">
        <v>19</v>
      </c>
    </row>
    <row r="20" spans="1:2" x14ac:dyDescent="0.25">
      <c r="A20" t="s">
        <v>20</v>
      </c>
      <c r="B20" s="10">
        <f>B17+B19*B18</f>
        <v>0.13884619999999998</v>
      </c>
    </row>
    <row r="21" spans="1:3" x14ac:dyDescent="0.25">
      <c r="A21" t="s">
        <v>21</v>
      </c>
      <c r="B21" s="6">
        <v>0.05719457013574661</v>
      </c>
      <c r="C21" s="8" t="s">
        <v>22</v>
      </c>
    </row>
    <row r="22" spans="1:2" x14ac:dyDescent="0.25">
      <c r="A22" t="s">
        <v>23</v>
      </c>
      <c r="B22" s="11">
        <v>17418022912</v>
      </c>
    </row>
    <row r="23" spans="1:2" x14ac:dyDescent="0.25">
      <c r="A23" t="s">
        <v>24</v>
      </c>
      <c r="B23" s="11">
        <v>2707000000</v>
      </c>
    </row>
    <row r="24" spans="1:2" x14ac:dyDescent="0.25">
      <c r="A24" t="s">
        <v>25</v>
      </c>
      <c r="B24" s="10">
        <f>B22/(B22+B23)</f>
        <v>0.8654908363664078</v>
      </c>
    </row>
    <row r="25" spans="1:2" x14ac:dyDescent="0.25">
      <c r="A25" t="s">
        <v>26</v>
      </c>
      <c r="B25" s="10">
        <f>1-B24</f>
        <v>0.13450916363359222</v>
      </c>
    </row>
    <row r="26" spans="1:2" x14ac:dyDescent="0.25">
      <c r="A26" t="s">
        <v>27</v>
      </c>
      <c r="B26" s="12">
        <f>B24*B20+B25*B21*(1-B8)</f>
        <v>0.12555534941963697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12831000000</v>
      </c>
      <c r="C29" s="8" t="s">
        <v>30</v>
      </c>
    </row>
    <row r="30" spans="1:2" x14ac:dyDescent="0.25">
      <c r="A30" t="s">
        <v>31</v>
      </c>
      <c r="B30" s="11">
        <v>1110000000</v>
      </c>
    </row>
    <row r="31" spans="1:2" x14ac:dyDescent="0.25">
      <c r="A31" t="s">
        <v>32</v>
      </c>
      <c r="B31" s="13">
        <v>261202037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0.010071437935283534</v>
      </c>
      <c r="C5" s="10">
        <f>Assumptions!B6</f>
        <v>0.010071437935283534</v>
      </c>
      <c r="D5" s="10">
        <f>Assumptions!B6</f>
        <v>0.010071437935283534</v>
      </c>
      <c r="E5" s="10">
        <f>Assumptions!B6</f>
        <v>0.010071437935283534</v>
      </c>
      <c r="F5" s="10">
        <f>Assumptions!B6</f>
        <v>0.010071437935283534</v>
      </c>
    </row>
    <row r="6" spans="1:6" x14ac:dyDescent="0.25">
      <c r="A6" t="s">
        <v>43</v>
      </c>
      <c r="B6" s="18">
        <f>Assumptions!B29*(1+B5)</f>
        <v>12960226620.147623</v>
      </c>
      <c r="C6" s="18">
        <f>B6*(1+C5)</f>
        <v>13090754738.17965</v>
      </c>
      <c r="D6" s="18">
        <f>C6*(1+D5)</f>
        <v>13222597462.051245</v>
      </c>
      <c r="E6" s="18">
        <f>D6*(1+E5)</f>
        <v>13355768031.733532</v>
      </c>
      <c r="F6" s="18">
        <f>E6*(1+F5)</f>
        <v>13490279820.54318</v>
      </c>
    </row>
    <row r="7" spans="1:6" x14ac:dyDescent="0.25">
      <c r="A7" t="s">
        <v>5</v>
      </c>
      <c r="B7" s="10">
        <f>Assumptions!B7</f>
        <v>0.05351731285288297</v>
      </c>
      <c r="C7" s="10">
        <f>Assumptions!B7</f>
        <v>0.05351731285288297</v>
      </c>
      <c r="D7" s="10">
        <f>Assumptions!B7</f>
        <v>0.05351731285288297</v>
      </c>
      <c r="E7" s="10">
        <f>Assumptions!B7</f>
        <v>0.05351731285288297</v>
      </c>
      <c r="F7" s="10">
        <f>Assumptions!B7</f>
        <v>0.05351731285288297</v>
      </c>
    </row>
    <row r="8" spans="1:6" x14ac:dyDescent="0.25">
      <c r="A8" t="s">
        <v>44</v>
      </c>
      <c r="B8" s="18">
        <f>B6*B7</f>
        <v>693596502.6747024</v>
      </c>
      <c r="C8" s="18">
        <f>C6*C7</f>
        <v>700582016.8035204</v>
      </c>
      <c r="D8" s="18">
        <f>D6*D7</f>
        <v>707637885.1043328</v>
      </c>
      <c r="E8" s="18">
        <f>E6*E7</f>
        <v>714764816.1448164</v>
      </c>
      <c r="F8" s="18">
        <f>F6*F7</f>
        <v>721963525.6289433</v>
      </c>
    </row>
    <row r="9" spans="1:6" x14ac:dyDescent="0.25">
      <c r="A9" t="s">
        <v>45</v>
      </c>
      <c r="B9" s="18">
        <f>B8*(1-Assumptions!B8)</f>
        <v>485517551.8722916</v>
      </c>
      <c r="C9" s="18">
        <f>C8*(1-Assumptions!B8)</f>
        <v>490407411.7624643</v>
      </c>
      <c r="D9" s="18">
        <f>D8*(1-Assumptions!B8)</f>
        <v>495346519.5730329</v>
      </c>
      <c r="E9" s="18">
        <f>E8*(1-Assumptions!B8)</f>
        <v>500335371.30137146</v>
      </c>
      <c r="F9" s="18">
        <f>F8*(1-Assumptions!B8)</f>
        <v>505374467.9402603</v>
      </c>
    </row>
    <row r="10" spans="1:6" x14ac:dyDescent="0.25">
      <c r="A10" t="s">
        <v>46</v>
      </c>
      <c r="B10" s="18">
        <f>B6*Assumptions!B9</f>
        <v>686828272.8209431</v>
      </c>
      <c r="C10" s="18">
        <f>C6*Assumptions!B9</f>
        <v>693745621.1428572</v>
      </c>
      <c r="D10" s="18">
        <f>D6*Assumptions!B9</f>
        <v>700732637.1090722</v>
      </c>
      <c r="E10" s="18">
        <f>E6*Assumptions!B9</f>
        <v>707790022.3729439</v>
      </c>
      <c r="F10" s="18">
        <f>F6*Assumptions!B9</f>
        <v>714918485.654486</v>
      </c>
    </row>
    <row r="11" spans="1:6" x14ac:dyDescent="0.25">
      <c r="A11" t="s">
        <v>47</v>
      </c>
      <c r="B11" s="18">
        <f>-B6*Assumptions!B10</f>
        <v>-602011236.2919499</v>
      </c>
      <c r="C11" s="18">
        <f>-C6*Assumptions!B10</f>
        <v>-608074355.0946076</v>
      </c>
      <c r="D11" s="18">
        <f>-D6*Assumptions!B10</f>
        <v>-614198538.2219805</v>
      </c>
      <c r="E11" s="18">
        <f>-E6*Assumptions!B10</f>
        <v>-620384400.679625</v>
      </c>
      <c r="F11" s="18">
        <f>-F6*Assumptions!B10</f>
        <v>-626632563.667088</v>
      </c>
    </row>
    <row r="12" spans="1:6" x14ac:dyDescent="0.25">
      <c r="A12" t="s">
        <v>48</v>
      </c>
      <c r="B12" s="18">
        <f>-(B6-Assumptions!B29)*Assumptions!B11</f>
        <v>-47979228.7601666</v>
      </c>
      <c r="C12" s="18">
        <f>-(C6-B6)*Assumptions!B11</f>
        <v>-48462448.58480738</v>
      </c>
      <c r="D12" s="18">
        <f>-(D6-C6)*Assumptions!B11</f>
        <v>-48950535.1279212</v>
      </c>
      <c r="E12" s="18">
        <f>-(E6-D6)*Assumptions!B11</f>
        <v>-49443537.40436111</v>
      </c>
      <c r="F12" s="18">
        <f>-(F6-E6)*Assumptions!B11</f>
        <v>-49941504.922629915</v>
      </c>
    </row>
    <row r="13" spans="1:6" x14ac:dyDescent="0.25">
      <c r="A13" s="19" t="s">
        <v>49</v>
      </c>
      <c r="B13" s="20">
        <f>B9+B10+B11+B12</f>
        <v>522355359.6411182</v>
      </c>
      <c r="C13" s="20">
        <f>C9+C10+C11+C12</f>
        <v>527616229.2259066</v>
      </c>
      <c r="D13" s="20">
        <f>D9+D10+D11+D12</f>
        <v>532930083.3322034</v>
      </c>
      <c r="E13" s="20">
        <f>E9+E10+E11+E12</f>
        <v>538297455.5903293</v>
      </c>
      <c r="F13" s="20">
        <f>F9+F10+F11+F12</f>
        <v>543718885.0050281</v>
      </c>
    </row>
    <row r="14" spans="1:6" x14ac:dyDescent="0.25">
      <c r="A14" t="s">
        <v>50</v>
      </c>
      <c r="B14" s="21">
        <f>1/(1+Assumptions!$B$26)^(1-0.5*Assumptions!$B$32)</f>
        <v>0.9425764217224702</v>
      </c>
      <c r="C14" s="21">
        <f>1/(1+Assumptions!$B$26)^(2-0.5*Assumptions!$B$32)</f>
        <v>0.8374323148199553</v>
      </c>
      <c r="D14" s="21">
        <f>1/(1+Assumptions!$B$26)^(3-0.5*Assumptions!$B$32)</f>
        <v>0.7440170003649799</v>
      </c>
      <c r="E14" s="21">
        <f>1/(1+Assumptions!$B$26)^(4-0.5*Assumptions!$B$32)</f>
        <v>0.661022135205179</v>
      </c>
      <c r="F14" s="21">
        <f>1/(1+Assumptions!$B$26)^(5-0.5*Assumptions!$B$32)</f>
        <v>0.5872853214602175</v>
      </c>
    </row>
    <row r="15" spans="1:6" x14ac:dyDescent="0.25">
      <c r="A15" s="19" t="s">
        <v>51</v>
      </c>
      <c r="B15" s="20">
        <f>B13*B14</f>
        <v>492359845.7580793</v>
      </c>
      <c r="C15" s="20">
        <f>C13*C14</f>
        <v>441842880.17722714</v>
      </c>
      <c r="D15" s="20">
        <f>D13*D14</f>
        <v>396509042.0050847</v>
      </c>
      <c r="E15" s="20">
        <f>E13*E14</f>
        <v>355826533.4698345</v>
      </c>
      <c r="F15" s="20">
        <f>F13*F14</f>
        <v>319318120.16416895</v>
      </c>
    </row>
    <row r="17" spans="1:2" x14ac:dyDescent="0.25">
      <c r="A17" s="22" t="s">
        <v>52</v>
      </c>
      <c r="B17" s="23">
        <f>SUM(B15:F15)</f>
        <v>2005856421.5743947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543718885.0050281</v>
      </c>
    </row>
    <row r="5" spans="1:2" x14ac:dyDescent="0.25">
      <c r="A5" t="s">
        <v>56</v>
      </c>
      <c r="B5" s="18">
        <f>IF(Assumptions!$B$33=0,B4,B4-Forecast!F11-Forecast!F10-Forecast!F12)</f>
        <v>505374467.9402603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0.19911537115351277</v>
      </c>
    </row>
    <row r="7" spans="1:2" x14ac:dyDescent="0.25">
      <c r="A7" t="s">
        <v>58</v>
      </c>
      <c r="B7" s="18">
        <f>-MAX(Forecast!F9,0)*B6</f>
        <v>-100627824.75543396</v>
      </c>
    </row>
    <row r="8" spans="1:2" x14ac:dyDescent="0.25">
      <c r="A8" t="s">
        <v>59</v>
      </c>
      <c r="B8" s="18">
        <f>IF(OR(Assumptions!$B$33=0,Assumptions!B12&lt;=0),B5,MAX(B5+B7,0))</f>
        <v>404746643.1848263</v>
      </c>
    </row>
    <row r="9" spans="1:2" x14ac:dyDescent="0.25">
      <c r="A9" t="s">
        <v>60</v>
      </c>
      <c r="B9" s="18">
        <f>B8*(1+Assumptions!B12)/(Assumptions!B26-Assumptions!B12)</f>
        <v>4125740814.9727917</v>
      </c>
    </row>
    <row r="10" spans="1:2" x14ac:dyDescent="0.25">
      <c r="A10" t="s">
        <v>61</v>
      </c>
      <c r="B10" s="18">
        <f>B9/(1+Assumptions!B26)^(5-0.5*Assumptions!B32)</f>
        <v>2422987020.7828355</v>
      </c>
    </row>
    <row r="11" spans="1:2" x14ac:dyDescent="0.25">
      <c r="A11" t="s">
        <v>62</v>
      </c>
      <c r="B11" s="18">
        <f>Forecast!B17+B10</f>
        <v>4428843442.35723</v>
      </c>
    </row>
    <row r="12" spans="1:2" x14ac:dyDescent="0.25">
      <c r="A12" t="s">
        <v>63</v>
      </c>
      <c r="B12" s="18">
        <f>-Assumptions!B30</f>
        <v>-1110000000</v>
      </c>
    </row>
    <row r="13" spans="1:2" x14ac:dyDescent="0.25">
      <c r="A13" t="s">
        <v>64</v>
      </c>
      <c r="B13" s="18">
        <f>B11+B12</f>
        <v>3318843442.35723</v>
      </c>
    </row>
    <row r="14" spans="1:2" x14ac:dyDescent="0.25">
      <c r="A14" s="19" t="s">
        <v>65</v>
      </c>
      <c r="B14" s="24">
        <f>B13/Assumptions!B31</f>
        <v>12.706039663684669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1436882011.2834291</v>
      </c>
    </row>
    <row r="18" spans="1:2" x14ac:dyDescent="0.25">
      <c r="A18" t="s">
        <v>60</v>
      </c>
      <c r="B18" s="18">
        <f>B17*Assumptions!B13</f>
        <v>19277757296.813915</v>
      </c>
    </row>
    <row r="19" spans="1:2" x14ac:dyDescent="0.25">
      <c r="A19" t="s">
        <v>61</v>
      </c>
      <c r="B19" s="18">
        <f>B18/(1+Assumptions!B26)^(5-0.5*Assumptions!B32)</f>
        <v>11321543891.091413</v>
      </c>
    </row>
    <row r="20" spans="1:2" x14ac:dyDescent="0.25">
      <c r="A20" t="s">
        <v>62</v>
      </c>
      <c r="B20" s="18">
        <f>Forecast!B17+B19</f>
        <v>13327400312.665808</v>
      </c>
    </row>
    <row r="21" spans="1:2" x14ac:dyDescent="0.25">
      <c r="A21" t="s">
        <v>63</v>
      </c>
      <c r="B21" s="18">
        <f>-Assumptions!B30</f>
        <v>-1110000000</v>
      </c>
    </row>
    <row r="22" spans="1:2" x14ac:dyDescent="0.25">
      <c r="A22" t="s">
        <v>64</v>
      </c>
      <c r="B22" s="18">
        <f>B20+B21</f>
        <v>12217400312.665808</v>
      </c>
    </row>
    <row r="23" spans="1:2" x14ac:dyDescent="0.25">
      <c r="A23" s="19" t="s">
        <v>65</v>
      </c>
      <c r="B23" s="25">
        <f>B22/Assumptions!B31</f>
        <v>46.77375587490464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66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17.84182089574601</v>
      </c>
    </row>
    <row r="29" spans="1:2" x14ac:dyDescent="0.25">
      <c r="A29" s="19" t="s">
        <v>73</v>
      </c>
      <c r="B29" s="12">
        <f>B28/B26-1</f>
        <v>-0.7296693803674847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0.105555</v>
      </c>
      <c r="B5" s="31">
        <v>15.597743626059431</v>
      </c>
      <c r="C5" s="31">
        <v>15.656090332109057</v>
      </c>
      <c r="D5" s="31">
        <v>15.71443703815868</v>
      </c>
      <c r="E5" s="31">
        <v>15.772783744208299</v>
      </c>
      <c r="F5" s="31">
        <v>15.831130450257914</v>
      </c>
    </row>
    <row r="6" spans="1:6" x14ac:dyDescent="0.25">
      <c r="A6" s="30">
        <v>0.115555</v>
      </c>
      <c r="B6" s="31">
        <v>13.978277773288589</v>
      </c>
      <c r="C6" s="31">
        <v>14.029458748666745</v>
      </c>
      <c r="D6" s="31">
        <v>14.080639724044902</v>
      </c>
      <c r="E6" s="31">
        <v>14.131820699423056</v>
      </c>
      <c r="F6" s="31">
        <v>14.18300167480121</v>
      </c>
    </row>
    <row r="7" spans="1:6" x14ac:dyDescent="0.25">
      <c r="A7" s="30">
        <v>0.125555</v>
      </c>
      <c r="B7" s="31">
        <v>12.615583072461954</v>
      </c>
      <c r="C7" s="31">
        <v>12.660833478710124</v>
      </c>
      <c r="D7" s="32">
        <v>12.706083884958296</v>
      </c>
      <c r="E7" s="31">
        <v>12.75133429120647</v>
      </c>
      <c r="F7" s="31">
        <v>12.79658469745464</v>
      </c>
    </row>
    <row r="8" spans="1:6" x14ac:dyDescent="0.25">
      <c r="A8" s="30">
        <v>0.135555</v>
      </c>
      <c r="B8" s="31">
        <v>11.452885719325128</v>
      </c>
      <c r="C8" s="31">
        <v>11.493162469214635</v>
      </c>
      <c r="D8" s="31">
        <v>11.533439219104137</v>
      </c>
      <c r="E8" s="31">
        <v>11.573715968993646</v>
      </c>
      <c r="F8" s="31">
        <v>11.61399271888315</v>
      </c>
    </row>
    <row r="9" spans="1:6" x14ac:dyDescent="0.25">
      <c r="A9" s="30">
        <v>0.145555</v>
      </c>
      <c r="B9" s="31">
        <v>10.449010790427012</v>
      </c>
      <c r="C9" s="31">
        <v>10.485069307308956</v>
      </c>
      <c r="D9" s="31">
        <v>10.521127824190899</v>
      </c>
      <c r="E9" s="31">
        <v>10.557186341072844</v>
      </c>
      <c r="F9" s="31">
        <v>10.593244857954788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12831000000</v>
      </c>
      <c r="C5" s="18">
        <v>11895000000</v>
      </c>
      <c r="D5" s="18">
        <v>10551000000</v>
      </c>
      <c r="E5" s="18">
        <v>12451000000</v>
      </c>
      <c r="F5" s="8" t="s">
        <v>84</v>
      </c>
    </row>
    <row r="6" spans="1:6" x14ac:dyDescent="0.25">
      <c r="A6" t="s">
        <v>44</v>
      </c>
      <c r="B6" s="18">
        <v>758000000</v>
      </c>
      <c r="C6" s="18">
        <v>828000000</v>
      </c>
      <c r="D6" s="18">
        <v>-227000000</v>
      </c>
      <c r="E6" s="18">
        <v>1331000000</v>
      </c>
      <c r="F6" s="8" t="s">
        <v>85</v>
      </c>
    </row>
    <row r="7" spans="1:6" x14ac:dyDescent="0.25">
      <c r="A7" t="s">
        <v>86</v>
      </c>
      <c r="B7" s="18">
        <v>623000000</v>
      </c>
      <c r="C7" s="18">
        <v>642000000</v>
      </c>
      <c r="D7" s="18">
        <v>632000000</v>
      </c>
      <c r="E7" s="18">
        <v>617000000</v>
      </c>
      <c r="F7" s="8" t="s">
        <v>87</v>
      </c>
    </row>
    <row r="8" spans="1:6" x14ac:dyDescent="0.25">
      <c r="A8" t="s">
        <v>88</v>
      </c>
      <c r="B8" s="18">
        <v>618000000</v>
      </c>
      <c r="C8" s="18">
        <v>580000000</v>
      </c>
      <c r="D8" s="18">
        <v>531000000</v>
      </c>
      <c r="E8" s="18">
        <v>480000000</v>
      </c>
      <c r="F8" s="8" t="s">
        <v>89</v>
      </c>
    </row>
    <row r="9" spans="1:6" x14ac:dyDescent="0.25">
      <c r="A9" t="s">
        <v>90</v>
      </c>
      <c r="B9" s="18">
        <v>456000000</v>
      </c>
      <c r="C9" s="18">
        <v>499000000</v>
      </c>
      <c r="D9" s="18">
        <v>270000000</v>
      </c>
      <c r="E9" s="18">
        <v>848000000</v>
      </c>
      <c r="F9" s="8" t="s">
        <v>91</v>
      </c>
    </row>
    <row r="10" spans="1:6" x14ac:dyDescent="0.25">
      <c r="A10" t="s">
        <v>92</v>
      </c>
      <c r="B10" s="18">
        <v>2707000000</v>
      </c>
      <c r="C10" s="18">
        <v>2818000000</v>
      </c>
      <c r="D10" s="18">
        <v>1971000000</v>
      </c>
      <c r="E10" s="18">
        <v>1866000000</v>
      </c>
      <c r="F10" s="8" t="s">
        <v>93</v>
      </c>
    </row>
    <row r="11" spans="1:6" x14ac:dyDescent="0.25">
      <c r="A11" t="s">
        <v>94</v>
      </c>
      <c r="B11" s="18">
        <v>1597000000</v>
      </c>
      <c r="C11" s="18">
        <v>1138000000</v>
      </c>
      <c r="D11" s="18">
        <v>944000000</v>
      </c>
      <c r="E11" s="18">
        <v>1363000000</v>
      </c>
      <c r="F11" s="8" t="s">
        <v>95</v>
      </c>
    </row>
    <row r="12" spans="1:6" x14ac:dyDescent="0.25">
      <c r="A12" t="s">
        <v>32</v>
      </c>
      <c r="B12" s="34">
        <v>261202037</v>
      </c>
      <c r="C12" s="34">
        <v>214051326</v>
      </c>
      <c r="D12" s="34">
        <v>178311096</v>
      </c>
      <c r="E12" s="34">
        <v>180645163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