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<sst xmlns="http://schemas.openxmlformats.org/spreadsheetml/2006/main" count="115" uniqueCount="103">
  <si>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Anglo American plc (AAL.L)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</si>
  <si>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</si>
  <si>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</si>
  <si>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</si>
  <si>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</si>
  <si>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</si>
  <si>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</si>
  <si>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</si>
  <si>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</si>
  <si>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</si>
  <si>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</si>
  <si>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</si>
  <si>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</si>
  <si>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</si>
  <si>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</si>
  <si>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</si>
  <si>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</si>
  <si>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</si>
  <si>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</si>
  <si>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</si>
  <si>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</si>
  <si>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</si>
  <si>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</si>
  <si>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</si>
  <si>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</si>
  <si>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</si>
  <si>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</si>
  <si>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</si>
  <si>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</si>
  <si>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</si>
  <si>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</si>
  <si>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</si>
  <si>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</si>
  <si>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</si>
  <si>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</si>
  <si>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</si>
  <si>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</si>
  <si>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</si>
  <si>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</si>
  <si>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</si>
  <si>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</si>
  <si>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</si>
  <si>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</si>
  <si>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</si>
  <si>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</si>
  <si>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</si>
  <si>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</si>
  <si>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</si>
  <si>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</si>
  <si>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</si>
  <si>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</si>
  <si>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</si>
  <si>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</si>
  <si>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</si>
  <si>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</si>
  <si>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</si>
  <si>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</si>
  <si>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</si>
  <si>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</si>
  <si>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</si>
  <si>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</si>
  <si>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</si>
  <si>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</si>
  <si>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</si>
  <si>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</si>
  <si>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</si>
  <si>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</si>
  <si>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</si>
  <si>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</si>
  <si>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</si>
  <si>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</si>
  <si>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</si>
  <si>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</si>
  <si>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</si>
  <si>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</si>
  <si>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</si>
  <si>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</si>
  <si>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</si>
  <si>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</si>
  <si>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</si>
  <si>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</si>
  <si>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</si>
  <si>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</si>
  <si>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</si>
  <si>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</si>
  <si>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</si>
  <si>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</si>
  <si>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</si>
  <si>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</si>
  <si>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</si>
  <si>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</si>
  <si>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</si>
  <si>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</si>
  <si>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</si>
  <si>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</si>
  <si>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</si>
  <si>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</si>
  <si>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</si>
  <si>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4.2%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</si>
  <si>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Reports in USD, trades in GBp. Modelled in USD, converted at the end.</t>
  </si>
  <si>
    <t>Adjusted: Capital expenditure runs at 19.7% of revenue against depreciation of 10.1%.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</si>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</sst>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-0.19169829729595922</v>
      </c>
    </row>
    <row r="7" spans="1:2" x14ac:dyDescent="0.25">
      <c r="A7" t="s">
        <v>5</v>
      </c>
      <c r="B7" s="6">
        <v>0.23947640410495502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0.10115483798655522</v>
      </c>
    </row>
    <row r="10" spans="1:2" x14ac:dyDescent="0.25">
      <c r="A10" t="s">
        <v>8</v>
      </c>
      <c r="B10" s="6">
        <v>0.19671664746740114</v>
      </c>
    </row>
    <row r="11" spans="1:2" x14ac:dyDescent="0.25">
      <c r="A11" t="s">
        <v>9</v>
      </c>
      <c r="B11" s="6">
        <v>-0.2557098074339454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8.220051990462565</v>
      </c>
    </row>
    <row r="14" spans="1:3" x14ac:dyDescent="0.25">
      <c r="A14" t="s">
        <v>12</v>
      </c>
      <c r="B14" s="6">
        <v>0.10677435939088367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0.99062</v>
      </c>
      <c r="C19" s="8" t="s">
        <v>19</v>
      </c>
    </row>
    <row r="20" spans="1:2" x14ac:dyDescent="0.25">
      <c r="A20" t="s">
        <v>20</v>
      </c>
      <c r="B20" s="10">
        <f>B17+B19*B18</f>
        <v>0.09948409999999999</v>
      </c>
    </row>
    <row r="21" spans="1:3" x14ac:dyDescent="0.25">
      <c r="A21" t="s">
        <v>21</v>
      </c>
      <c r="B21" s="6">
        <v>0.051170935858241076</v>
      </c>
      <c r="C21" s="8" t="s">
        <v>22</v>
      </c>
    </row>
    <row r="22" spans="1:2" x14ac:dyDescent="0.25">
      <c r="A22" t="s">
        <v>23</v>
      </c>
      <c r="B22" s="11">
        <v>42377347072</v>
      </c>
    </row>
    <row r="23" spans="1:2" x14ac:dyDescent="0.25">
      <c r="A23" t="s">
        <v>24</v>
      </c>
      <c r="B23" s="11">
        <v>15481000000</v>
      </c>
    </row>
    <row r="24" spans="1:2" x14ac:dyDescent="0.25">
      <c r="A24" t="s">
        <v>25</v>
      </c>
      <c r="B24" s="10">
        <f>B22/(B22+B23)</f>
        <v>0.7324327295293251</v>
      </c>
    </row>
    <row r="25" spans="1:2" x14ac:dyDescent="0.25">
      <c r="A25" t="s">
        <v>26</v>
      </c>
      <c r="B25" s="10">
        <f>1-B24</f>
        <v>0.26756727047067486</v>
      </c>
    </row>
    <row r="26" spans="1:2" x14ac:dyDescent="0.25">
      <c r="A26" t="s">
        <v>27</v>
      </c>
      <c r="B26" s="12">
        <f>B24*B20+B25*B21*(1-B8)</f>
        <v>0.08313416163403298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18546000000</v>
      </c>
      <c r="C29" s="8" t="s">
        <v>30</v>
      </c>
    </row>
    <row r="30" spans="1:2" x14ac:dyDescent="0.25">
      <c r="A30" t="s">
        <v>31</v>
      </c>
      <c r="B30" s="11">
        <v>9335000000</v>
      </c>
    </row>
    <row r="31" spans="1:2" x14ac:dyDescent="0.25">
      <c r="A31" t="s">
        <v>32</v>
      </c>
      <c r="B31" s="13">
        <v>1131000000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-0.19169829729595922</v>
      </c>
      <c r="C5" s="10">
        <f>Assumptions!B6</f>
        <v>-0.19169829729595922</v>
      </c>
      <c r="D5" s="10">
        <f>Assumptions!B6</f>
        <v>-0.19169829729595922</v>
      </c>
      <c r="E5" s="10">
        <f>Assumptions!B6</f>
        <v>-0.19169829729595922</v>
      </c>
      <c r="F5" s="10">
        <f>Assumptions!B6</f>
        <v>-0.19169829729595922</v>
      </c>
    </row>
    <row r="6" spans="1:6" x14ac:dyDescent="0.25">
      <c r="A6" t="s">
        <v>43</v>
      </c>
      <c r="B6" s="18">
        <f>Assumptions!B29*(1+B5)</f>
        <v>14990763378.34914</v>
      </c>
      <c r="C6" s="18">
        <f>B6*(1+C5)</f>
        <v>12117059563.552988</v>
      </c>
      <c r="D6" s="18">
        <f>C6*(1+D5)</f>
        <v>9794239876.986162</v>
      </c>
      <c r="E6" s="18">
        <f>D6*(1+E5)</f>
        <v>7916700769.259729</v>
      </c>
      <c r="F6" s="18">
        <f>E6*(1+F5)</f>
        <v>6399082711.591029</v>
      </c>
    </row>
    <row r="7" spans="1:6" x14ac:dyDescent="0.25">
      <c r="A7" t="s">
        <v>5</v>
      </c>
      <c r="B7" s="10">
        <f>Assumptions!B7</f>
        <v>0.23947640410495502</v>
      </c>
      <c r="C7" s="10">
        <f>Assumptions!B7</f>
        <v>0.23947640410495502</v>
      </c>
      <c r="D7" s="10">
        <f>Assumptions!B7</f>
        <v>0.23947640410495502</v>
      </c>
      <c r="E7" s="10">
        <f>Assumptions!B7</f>
        <v>0.23947640410495502</v>
      </c>
      <c r="F7" s="10">
        <f>Assumptions!B7</f>
        <v>0.23947640410495502</v>
      </c>
    </row>
    <row r="8" spans="1:6" x14ac:dyDescent="0.25">
      <c r="A8" t="s">
        <v>44</v>
      </c>
      <c r="B8" s="18">
        <f>B6*B7</f>
        <v>3589934108.635299</v>
      </c>
      <c r="C8" s="18">
        <f>C6*C7</f>
        <v>2901749852.605225</v>
      </c>
      <c r="D8" s="18">
        <f>D6*D7</f>
        <v>2345489346.682003</v>
      </c>
      <c r="E8" s="18">
        <f>E6*E7</f>
        <v>1895863032.5972512</v>
      </c>
      <c r="F8" s="18">
        <f>F6*F7</f>
        <v>1532429317.3420045</v>
      </c>
    </row>
    <row r="9" spans="1:6" x14ac:dyDescent="0.25">
      <c r="A9" t="s">
        <v>45</v>
      </c>
      <c r="B9" s="18">
        <f>B8*(1-Assumptions!B8)</f>
        <v>2692450581.4764743</v>
      </c>
      <c r="C9" s="18">
        <f>C8*(1-Assumptions!B8)</f>
        <v>2176312389.453919</v>
      </c>
      <c r="D9" s="18">
        <f>D8*(1-Assumptions!B8)</f>
        <v>1759117010.0115023</v>
      </c>
      <c r="E9" s="18">
        <f>E8*(1-Assumptions!B8)</f>
        <v>1421897274.4479384</v>
      </c>
      <c r="F9" s="18">
        <f>F8*(1-Assumptions!B8)</f>
        <v>1149321988.0065033</v>
      </c>
    </row>
    <row r="10" spans="1:6" x14ac:dyDescent="0.25">
      <c r="A10" t="s">
        <v>46</v>
      </c>
      <c r="B10" s="18">
        <f>B6*Assumptions!B9</f>
        <v>1516388240.8316925</v>
      </c>
      <c r="C10" s="18">
        <f>C6*Assumptions!B9</f>
        <v>1225699197.024642</v>
      </c>
      <c r="D10" s="18">
        <f>D6*Assumptions!B9</f>
        <v>990734747.9579937</v>
      </c>
      <c r="E10" s="18">
        <f>E6*Assumptions!B9</f>
        <v>800812583.702505</v>
      </c>
      <c r="F10" s="18">
        <f>F6*Assumptions!B9</f>
        <v>647298174.953557</v>
      </c>
    </row>
    <row r="11" spans="1:6" x14ac:dyDescent="0.25">
      <c r="A11" t="s">
        <v>47</v>
      </c>
      <c r="B11" s="18">
        <f>-B6*Assumptions!B10</f>
        <v>-2948932714.765935</v>
      </c>
      <c r="C11" s="18">
        <f>-C6*Assumptions!B10</f>
        <v>-2383627334.504955</v>
      </c>
      <c r="D11" s="18">
        <f>-D6*Assumptions!B10</f>
        <v>-1926690033.0922492</v>
      </c>
      <c r="E11" s="18">
        <f>-E6*Assumptions!B10</f>
        <v>-1557346834.3313696</v>
      </c>
      <c r="F11" s="18">
        <f>-F6*Assumptions!B10</f>
        <v>-1258806097.8907938</v>
      </c>
    </row>
    <row r="12" spans="1:6" x14ac:dyDescent="0.25">
      <c r="A12" t="s">
        <v>48</v>
      </c>
      <c r="B12" s="18">
        <f>-(B6-Assumptions!B29)*Assumptions!B11</f>
        <v>-909108871.904452</v>
      </c>
      <c r="C12" s="18">
        <f>-(C6-B6)*Assumptions!B11</f>
        <v>-734834249.1037183</v>
      </c>
      <c r="D12" s="18">
        <f>-(D6-C6)*Assumptions!B11</f>
        <v>-593967774.7557805</v>
      </c>
      <c r="E12" s="18">
        <f>-(E6-D6)*Assumptions!B11</f>
        <v>-480105163.6864278</v>
      </c>
      <c r="F12" s="18">
        <f>-(F6-E6)*Assumptions!B11</f>
        <v>-388069821.2847416</v>
      </c>
    </row>
    <row r="13" spans="1:6" x14ac:dyDescent="0.25">
      <c r="A13" s="19" t="s">
        <v>49</v>
      </c>
      <c r="B13" s="20">
        <f>B9+B10+B11+B12</f>
        <v>350797235.6377796</v>
      </c>
      <c r="C13" s="20">
        <f>C9+C10+C11+C12</f>
        <v>283550002.8698878</v>
      </c>
      <c r="D13" s="20">
        <f>D9+D10+D11+D12</f>
        <v>229193950.12146616</v>
      </c>
      <c r="E13" s="20">
        <f>E9+E10+E11+E12</f>
        <v>185257860.13264614</v>
      </c>
      <c r="F13" s="20">
        <f>F9+F10+F11+F12</f>
        <v>149744243.78452498</v>
      </c>
    </row>
    <row r="14" spans="1:6" x14ac:dyDescent="0.25">
      <c r="A14" t="s">
        <v>50</v>
      </c>
      <c r="B14" s="21">
        <f>1/(1+Assumptions!$B$26)^(1-0.5*Assumptions!$B$32)</f>
        <v>0.9608572540777658</v>
      </c>
      <c r="C14" s="21">
        <f>1/(1+Assumptions!$B$26)^(2-0.5*Assumptions!$B$32)</f>
        <v>0.8871082531717046</v>
      </c>
      <c r="D14" s="21">
        <f>1/(1+Assumptions!$B$26)^(3-0.5*Assumptions!$B$32)</f>
        <v>0.8190197342067018</v>
      </c>
      <c r="E14" s="21">
        <f>1/(1+Assumptions!$B$26)^(4-0.5*Assumptions!$B$32)</f>
        <v>0.7561572363031334</v>
      </c>
      <c r="F14" s="21">
        <f>1/(1+Assumptions!$B$26)^(5-0.5*Assumptions!$B$32)</f>
        <v>0.6981196449038064</v>
      </c>
    </row>
    <row r="15" spans="1:6" x14ac:dyDescent="0.25">
      <c r="A15" s="19" t="s">
        <v>51</v>
      </c>
      <c r="B15" s="20">
        <f>B13*B14</f>
        <v>337066068.57298785</v>
      </c>
      <c r="C15" s="20">
        <f>C13*C14</f>
        <v>251539547.73273802</v>
      </c>
      <c r="D15" s="20">
        <f>D13*D14</f>
        <v>187714368.11026728</v>
      </c>
      <c r="E15" s="20">
        <f>E13*E14</f>
        <v>140084071.52133414</v>
      </c>
      <c r="F15" s="20">
        <f>F13*F14</f>
        <v>104539398.2972416</v>
      </c>
    </row>
    <row r="17" spans="1:2" x14ac:dyDescent="0.25">
      <c r="A17" s="22" t="s">
        <v>52</v>
      </c>
      <c r="B17" s="23">
        <f>SUM(B15:F15)</f>
        <v>1020943454.2345688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149744243.78452498</v>
      </c>
    </row>
    <row r="5" spans="1:2" x14ac:dyDescent="0.25">
      <c r="A5" t="s">
        <v>56</v>
      </c>
      <c r="B5" s="18">
        <f>IF(Assumptions!$B$33=0,B4,B4-Forecast!F11-Forecast!F10-Forecast!F12)</f>
        <v>1149321988.0065033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0.23413860914378368</v>
      </c>
    </row>
    <row r="7" spans="1:2" x14ac:dyDescent="0.25">
      <c r="A7" t="s">
        <v>58</v>
      </c>
      <c r="B7" s="18">
        <f>-MAX(Forecast!F9,0)*B6</f>
        <v>-269100651.73021114</v>
      </c>
    </row>
    <row r="8" spans="1:2" x14ac:dyDescent="0.25">
      <c r="A8" t="s">
        <v>59</v>
      </c>
      <c r="B8" s="18">
        <f>IF(OR(Assumptions!$B$33=0,Assumptions!B12&lt;=0),B5,MAX(B5+B7,0))</f>
        <v>880221336.2762922</v>
      </c>
    </row>
    <row r="9" spans="1:2" x14ac:dyDescent="0.25">
      <c r="A9" t="s">
        <v>60</v>
      </c>
      <c r="B9" s="18">
        <f>B8*(1+Assumptions!B12)/(Assumptions!B26-Assumptions!B12)</f>
        <v>15519736490.962254</v>
      </c>
    </row>
    <row r="10" spans="1:2" x14ac:dyDescent="0.25">
      <c r="A10" t="s">
        <v>61</v>
      </c>
      <c r="B10" s="18">
        <f>B9/(1+Assumptions!B26)^(5-0.5*Assumptions!B32)</f>
        <v>10834632928.071215</v>
      </c>
    </row>
    <row r="11" spans="1:2" x14ac:dyDescent="0.25">
      <c r="A11" t="s">
        <v>62</v>
      </c>
      <c r="B11" s="18">
        <f>Forecast!B17+B10</f>
        <v>11855576382.305784</v>
      </c>
    </row>
    <row r="12" spans="1:2" x14ac:dyDescent="0.25">
      <c r="A12" t="s">
        <v>63</v>
      </c>
      <c r="B12" s="18">
        <f>-Assumptions!B30</f>
        <v>-9335000000</v>
      </c>
    </row>
    <row r="13" spans="1:2" x14ac:dyDescent="0.25">
      <c r="A13" t="s">
        <v>64</v>
      </c>
      <c r="B13" s="18">
        <f>B11+B12</f>
        <v>2520576382.305784</v>
      </c>
    </row>
    <row r="14" spans="1:2" x14ac:dyDescent="0.25">
      <c r="A14" s="19" t="s">
        <v>65</v>
      </c>
      <c r="B14" s="24">
        <f>B13/Assumptions!B31</f>
        <v>2.2286263327195264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2179727492.295562</v>
      </c>
    </row>
    <row r="18" spans="1:2" x14ac:dyDescent="0.25">
      <c r="A18" t="s">
        <v>60</v>
      </c>
      <c r="B18" s="18">
        <f>B17*Assumptions!B13</f>
        <v>17917473311.71011</v>
      </c>
    </row>
    <row r="19" spans="1:2" x14ac:dyDescent="0.25">
      <c r="A19" t="s">
        <v>61</v>
      </c>
      <c r="B19" s="18">
        <f>B18/(1+Assumptions!B26)^(5-0.5*Assumptions!B32)</f>
        <v>12508540105.94449</v>
      </c>
    </row>
    <row r="20" spans="1:2" x14ac:dyDescent="0.25">
      <c r="A20" t="s">
        <v>62</v>
      </c>
      <c r="B20" s="18">
        <f>Forecast!B17+B19</f>
        <v>13529483560.17906</v>
      </c>
    </row>
    <row r="21" spans="1:2" x14ac:dyDescent="0.25">
      <c r="A21" t="s">
        <v>63</v>
      </c>
      <c r="B21" s="18">
        <f>-Assumptions!B30</f>
        <v>-9335000000</v>
      </c>
    </row>
    <row r="22" spans="1:2" x14ac:dyDescent="0.25">
      <c r="A22" t="s">
        <v>64</v>
      </c>
      <c r="B22" s="18">
        <f>B20+B21</f>
        <v>4194483560.17906</v>
      </c>
    </row>
    <row r="23" spans="1:2" x14ac:dyDescent="0.25">
      <c r="A23" s="19" t="s">
        <v>65</v>
      </c>
      <c r="B23" s="25">
        <f>B22/Assumptions!B31</f>
        <v>3.7086503626693723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3955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166.39592787983798</v>
      </c>
    </row>
    <row r="29" spans="1:2" x14ac:dyDescent="0.25">
      <c r="A29" s="19" t="s">
        <v>73</v>
      </c>
      <c r="B29" s="12">
        <f>B28/B26-1</f>
        <v>-0.9579277047080056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0.063134</v>
      </c>
      <c r="B5" s="31">
        <v>6.665419018937562</v>
      </c>
      <c r="C5" s="31">
        <v>7.508857136361052</v>
      </c>
      <c r="D5" s="31">
        <v>8.563998921751068</v>
      </c>
      <c r="E5" s="31">
        <v>9.926684147531653</v>
      </c>
      <c r="F5" s="31">
        <v>11.760883511287885</v>
      </c>
    </row>
    <row r="6" spans="1:6" x14ac:dyDescent="0.25">
      <c r="A6" s="30">
        <v>0.073134</v>
      </c>
      <c r="B6" s="31">
        <v>3.7654458267279</v>
      </c>
      <c r="C6" s="31">
        <v>4.204892729915165</v>
      </c>
      <c r="D6" s="31">
        <v>4.728440264055647</v>
      </c>
      <c r="E6" s="31">
        <v>5.365334718950857</v>
      </c>
      <c r="F6" s="31">
        <v>6.160161079425914</v>
      </c>
    </row>
    <row r="7" spans="1:6" x14ac:dyDescent="0.25">
      <c r="A7" s="30">
        <v>0.083134</v>
      </c>
      <c r="B7" s="31">
        <v>1.7326966694022279</v>
      </c>
      <c r="C7" s="31">
        <v>1.963669855575575</v>
      </c>
      <c r="D7" s="32">
        <v>2.228659661549107</v>
      </c>
      <c r="E7" s="31">
        <v>2.5372691530999774</v>
      </c>
      <c r="F7" s="31">
        <v>2.9030915342764647</v>
      </c>
    </row>
    <row r="8" spans="1:6" x14ac:dyDescent="0.25">
      <c r="A8" s="30">
        <v>0.093134</v>
      </c>
      <c r="B8" s="31">
        <v>0.23336001811193302</v>
      </c>
      <c r="C8" s="31">
        <v>0.3484099178418329</v>
      </c>
      <c r="D8" s="31">
        <v>0.4756673468045556</v>
      </c>
      <c r="E8" s="31">
        <v>0.6180326905054182</v>
      </c>
      <c r="F8" s="31">
        <v>0.779404162056745</v>
      </c>
    </row>
    <row r="9" spans="1:6" x14ac:dyDescent="0.25">
      <c r="A9" s="30">
        <v>0.103134</v>
      </c>
      <c r="B9" s="31">
        <v>-0.9148236339122189</v>
      </c>
      <c r="C9" s="31">
        <v>-0.8674593913811035</v>
      </c>
      <c r="D9" s="31">
        <v>-0.8179489733205099</v>
      </c>
      <c r="E9" s="31">
        <v>-0.7658521927730356</v>
      </c>
      <c r="F9" s="31">
        <v>-0.7105996506530128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18546000000</v>
      </c>
      <c r="C5" s="18">
        <v>17745000000</v>
      </c>
      <c r="D5" s="18">
        <v>30652000000</v>
      </c>
      <c r="E5" s="18">
        <v>35118000000</v>
      </c>
      <c r="F5" s="8" t="s">
        <v>84</v>
      </c>
    </row>
    <row r="6" spans="1:6" x14ac:dyDescent="0.25">
      <c r="A6" t="s">
        <v>44</v>
      </c>
      <c r="B6" s="18">
        <v>3990000000</v>
      </c>
      <c r="C6" s="18">
        <v>3895000000</v>
      </c>
      <c r="D6" s="18">
        <v>6507000000</v>
      </c>
      <c r="E6" s="18">
        <v>10921000000</v>
      </c>
      <c r="F6" s="8" t="s">
        <v>85</v>
      </c>
    </row>
    <row r="7" spans="1:6" x14ac:dyDescent="0.25">
      <c r="A7" t="s">
        <v>86</v>
      </c>
      <c r="B7" s="18">
        <v>2301000000</v>
      </c>
      <c r="C7" s="18">
        <v>2188000000</v>
      </c>
      <c r="D7" s="18">
        <v>2685000000</v>
      </c>
      <c r="E7" s="18">
        <v>2446000000</v>
      </c>
      <c r="F7" s="8" t="s">
        <v>87</v>
      </c>
    </row>
    <row r="8" spans="1:6" x14ac:dyDescent="0.25">
      <c r="A8" t="s">
        <v>88</v>
      </c>
      <c r="B8" s="18">
        <v>3380000000</v>
      </c>
      <c r="C8" s="18">
        <v>4055000000</v>
      </c>
      <c r="D8" s="18">
        <v>6012000000</v>
      </c>
      <c r="E8" s="18">
        <v>6320000000</v>
      </c>
      <c r="F8" s="8" t="s">
        <v>89</v>
      </c>
    </row>
    <row r="9" spans="1:6" x14ac:dyDescent="0.25">
      <c r="A9" t="s">
        <v>90</v>
      </c>
      <c r="B9" s="18">
        <v>-740000000</v>
      </c>
      <c r="C9" s="18">
        <v>-1217000000</v>
      </c>
      <c r="D9" s="18">
        <v>1142000000</v>
      </c>
      <c r="E9" s="18">
        <v>1852000000</v>
      </c>
      <c r="F9" s="8" t="s">
        <v>91</v>
      </c>
    </row>
    <row r="10" spans="1:6" x14ac:dyDescent="0.25">
      <c r="A10" t="s">
        <v>92</v>
      </c>
      <c r="B10" s="18">
        <v>15481000000</v>
      </c>
      <c r="C10" s="18">
        <v>18210000000</v>
      </c>
      <c r="D10" s="18">
        <v>16912000000</v>
      </c>
      <c r="E10" s="18">
        <v>14365000000</v>
      </c>
      <c r="F10" s="8" t="s">
        <v>93</v>
      </c>
    </row>
    <row r="11" spans="1:6" x14ac:dyDescent="0.25">
      <c r="A11" t="s">
        <v>94</v>
      </c>
      <c r="B11" s="18">
        <v>6146000000</v>
      </c>
      <c r="C11" s="18">
        <v>7605000000</v>
      </c>
      <c r="D11" s="18">
        <v>5604000000</v>
      </c>
      <c r="E11" s="18">
        <v>7937000000</v>
      </c>
      <c r="F11" s="8" t="s">
        <v>95</v>
      </c>
    </row>
    <row r="12" spans="1:6" x14ac:dyDescent="0.25">
      <c r="A12" t="s">
        <v>32</v>
      </c>
      <c r="B12" s="34">
        <v>1131000000</v>
      </c>
      <c r="C12" s="34">
        <v>1067449541</v>
      </c>
      <c r="D12" s="34">
        <v>1220000000</v>
      </c>
      <c r="E12" s="34">
        <v>1226000000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