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<sst xmlns="http://schemas.openxmlformats.org/spreadsheetml/2006/main" count="120" uniqueCount="107">
  <si>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Apple Inc. (AAPL)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</si>
  <si>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</si>
  <si>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</si>
  <si>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</si>
  <si>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</si>
  <si>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</si>
  <si>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</si>
  <si>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</si>
  <si>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</si>
  <si>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</si>
  <si>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</si>
  <si>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</si>
  <si>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</si>
  <si>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</si>
  <si>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</si>
  <si>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</si>
  <si>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</si>
  <si>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</si>
  <si>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</si>
  <si>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</si>
  <si>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</si>
  <si>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</si>
  <si>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</si>
  <si>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</si>
  <si>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Assumed: risk-free + 200bp (interest expense not reported)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</si>
  <si>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</si>
  <si>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</si>
  <si>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</si>
  <si>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</si>
  <si>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</si>
  <si>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</si>
  <si>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</si>
  <si>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2025-09-30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</si>
  <si>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</si>
  <si>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</si>
  <si>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</si>
  <si>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</si>
  <si>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</si>
  <si>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</si>
  <si>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</si>
  <si>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</si>
  <si>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</si>
  <si>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</si>
  <si>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</si>
  <si>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</si>
  <si>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</si>
  <si>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</si>
  <si>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</si>
  <si>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</si>
  <si>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</si>
  <si>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</si>
  <si>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</si>
  <si>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</si>
  <si>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</si>
  <si>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</si>
  <si>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</si>
  <si>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</si>
  <si>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</si>
  <si>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</si>
  <si>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</si>
  <si>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</si>
  <si>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</si>
  <si>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</si>
  <si>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</si>
  <si>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</si>
  <si>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</si>
  <si>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</si>
  <si>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</si>
  <si>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</si>
  <si>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</si>
  <si>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</si>
  <si>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</si>
  <si>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</si>
  <si>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</si>
  <si>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</si>
  <si>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</si>
  <si>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</si>
  <si>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</si>
  <si>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</si>
  <si>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</si>
  <si>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</si>
  <si>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</si>
  <si>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</si>
  <si>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</si>
  <si>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</si>
  <si>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</si>
  <si>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2025-09-30</t>
  </si>
  <si>
    <t>2024-09-30</t>
  </si>
  <si>
    <t>2023-09-30</t>
  </si>
  <si>
    <t>2022-09-30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</si>
  <si>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</si>
  <si>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</si>
  <si>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</si>
  <si>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</si>
  <si>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</si>
  <si>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</si>
  <si>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</si>
  <si>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</si>
  <si>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</si>
  <si>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</si>
  <si>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</si>
  <si>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</si>
  <si>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</si>
  <si>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</si>
  <si>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</si>
  <si>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Current EV/EBITDA of 35.1x sits outside a defensible 3-20x band, so the exit multiple is capped at 20.0x. A multiple that far out usually means EBITDA is the wrong denominator for this business.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</si>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</sst>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0.14771786212547555</v>
      </c>
    </row>
    <row r="7" spans="1:2" x14ac:dyDescent="0.25">
      <c r="A7" t="s">
        <v>4</v>
      </c>
      <c r="B7" s="5">
        <v>0.3089779482330519</v>
      </c>
    </row>
    <row r="8" spans="1:2" x14ac:dyDescent="0.25">
      <c r="A8" t="s">
        <v>5</v>
      </c>
      <c r="B8" s="5">
        <v>0.15907232010005223</v>
      </c>
    </row>
    <row r="9" spans="1:2" x14ac:dyDescent="0.25">
      <c r="A9" t="s">
        <v>6</v>
      </c>
      <c r="B9" s="5">
        <v>0.028897611669405125</v>
      </c>
    </row>
    <row r="10" spans="1:3" x14ac:dyDescent="0.25">
      <c r="A10" t="s">
        <v>7</v>
      </c>
      <c r="B10" s="5">
        <v>0.02761485036770544</v>
      </c>
      <c r="C10" s="6" t="s">
        <v>8</v>
      </c>
    </row>
    <row r="11" spans="1:2" x14ac:dyDescent="0.25">
      <c r="A11" t="s">
        <v>9</v>
      </c>
      <c r="B11" s="5">
        <v>-0.0710643909808995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5">
        <v>0.6</v>
      </c>
      <c r="C14" s="6" t="s">
        <v>13</v>
      </c>
    </row>
    <row r="15" spans="1:3" x14ac:dyDescent="0.25">
      <c r="A15" t="s">
        <v>14</v>
      </c>
      <c r="B15" s="5">
        <v>0.028897611669405125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1.04623</v>
      </c>
      <c r="C19" s="6" t="s">
        <v>21</v>
      </c>
    </row>
    <row r="20" spans="1:2" x14ac:dyDescent="0.25">
      <c r="A20" t="s">
        <v>22</v>
      </c>
      <c r="B20" s="9">
        <f>B17+B19*B18</f>
        <v>0.093195529</v>
      </c>
    </row>
    <row r="21" spans="1:3" x14ac:dyDescent="0.25">
      <c r="A21" t="s">
        <v>23</v>
      </c>
      <c r="B21" s="5">
        <v>0.06894</v>
      </c>
      <c r="C21" s="6" t="s">
        <v>24</v>
      </c>
    </row>
    <row r="22" spans="1:2" x14ac:dyDescent="0.25">
      <c r="A22" t="s">
        <v>25</v>
      </c>
      <c r="B22" s="10">
        <v>5029592301568</v>
      </c>
    </row>
    <row r="23" spans="1:2" x14ac:dyDescent="0.25">
      <c r="A23" t="s">
        <v>26</v>
      </c>
      <c r="B23" s="10">
        <v>98657000000</v>
      </c>
    </row>
    <row r="24" spans="1:2" x14ac:dyDescent="0.25">
      <c r="A24" t="s">
        <v>27</v>
      </c>
      <c r="B24" s="9">
        <f>B22/(B22+B23)</f>
        <v>0.9807620507119584</v>
      </c>
    </row>
    <row r="25" spans="1:2" x14ac:dyDescent="0.25">
      <c r="A25" t="s">
        <v>28</v>
      </c>
      <c r="B25" s="9">
        <f>1-B24</f>
        <v>0.019237949288041567</v>
      </c>
    </row>
    <row r="26" spans="1:2" x14ac:dyDescent="0.25">
      <c r="A26" t="s">
        <v>29</v>
      </c>
      <c r="B26" s="11">
        <f>B24*B20+B25*B21*(1-B8)</f>
        <v>0.09251793043597911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416161000000</v>
      </c>
      <c r="C29" s="6" t="s">
        <v>32</v>
      </c>
    </row>
    <row r="30" spans="1:2" x14ac:dyDescent="0.25">
      <c r="A30" t="s">
        <v>33</v>
      </c>
      <c r="B30" s="10">
        <v>43960000000</v>
      </c>
    </row>
    <row r="31" spans="1:2" x14ac:dyDescent="0.25">
      <c r="A31" t="s">
        <v>34</v>
      </c>
      <c r="B31" s="12">
        <v>15004697000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0.14771786212547555</v>
      </c>
      <c r="C5" s="5">
        <v>0.09864606190391045</v>
      </c>
      <c r="D5" s="5">
        <v>0.08944030416592165</v>
      </c>
      <c r="E5" s="5">
        <v>0.08023454642793285</v>
      </c>
      <c r="F5" s="5">
        <v>0.07102878868994403</v>
      </c>
      <c r="G5" s="5">
        <v>0.061823030951955224</v>
      </c>
      <c r="H5" s="5">
        <v>0.05261727321396642</v>
      </c>
      <c r="I5" s="5">
        <v>0.04341151547597761</v>
      </c>
      <c r="J5" s="5">
        <v>0.0342057577379888</v>
      </c>
      <c r="K5" s="5">
        <v>0.024999999999999994</v>
      </c>
    </row>
    <row r="6" spans="1:11" x14ac:dyDescent="0.25">
      <c r="A6" t="s">
        <v>50</v>
      </c>
      <c r="B6" s="18">
        <f>Assumptions!B29*(1+B5)</f>
        <v>477635413220.00006</v>
      </c>
      <c r="C6" s="18">
        <f>B6*(1+C5)</f>
        <v>524752265760.00006</v>
      </c>
      <c r="D6" s="18">
        <f>C6*(1+D5)</f>
        <v>571686268021.331</v>
      </c>
      <c r="E6" s="18">
        <f>D6*(1+E5)</f>
        <v>617555256435.1002</v>
      </c>
      <c r="F6" s="18">
        <f>E6*(1+F5)</f>
        <v>661419458248.7932</v>
      </c>
      <c r="G6" s="18">
        <f>F6*(1+G5)</f>
        <v>702310413888.3337</v>
      </c>
      <c r="H6" s="18">
        <f>G6*(1+H5)</f>
        <v>739264072816.91</v>
      </c>
      <c r="I6" s="18">
        <f>H6*(1+I5)</f>
        <v>771356646554.8356</v>
      </c>
      <c r="J6" s="18">
        <f>I6*(1+J5)</f>
        <v>797741485136.4778</v>
      </c>
      <c r="K6" s="18">
        <f>J6*(1+K5)</f>
        <v>817685022264.8896</v>
      </c>
    </row>
    <row r="7" spans="1:11" x14ac:dyDescent="0.25">
      <c r="A7" t="s">
        <v>4</v>
      </c>
      <c r="B7" s="9">
        <f>Assumptions!B7</f>
        <v>0.3089779482330519</v>
      </c>
      <c r="C7" s="9">
        <f>Assumptions!B7</f>
        <v>0.3089779482330519</v>
      </c>
      <c r="D7" s="9">
        <f>Assumptions!B7</f>
        <v>0.3089779482330519</v>
      </c>
      <c r="E7" s="9">
        <f>Assumptions!B7</f>
        <v>0.3089779482330519</v>
      </c>
      <c r="F7" s="9">
        <f>Assumptions!B7</f>
        <v>0.3089779482330519</v>
      </c>
      <c r="G7" s="9">
        <f>Assumptions!B7</f>
        <v>0.3089779482330519</v>
      </c>
      <c r="H7" s="9">
        <f>Assumptions!B7</f>
        <v>0.3089779482330519</v>
      </c>
      <c r="I7" s="9">
        <f>Assumptions!B7</f>
        <v>0.3089779482330519</v>
      </c>
      <c r="J7" s="9">
        <f>Assumptions!B7</f>
        <v>0.3089779482330519</v>
      </c>
      <c r="K7" s="9">
        <f>Assumptions!B7</f>
        <v>0.3089779482330519</v>
      </c>
    </row>
    <row r="8" spans="1:11" x14ac:dyDescent="0.25">
      <c r="A8" t="s">
        <v>51</v>
      </c>
      <c r="B8" s="18">
        <f>B6*B7</f>
        <v>147578809980.16153</v>
      </c>
      <c r="C8" s="18">
        <f>C6*C7</f>
        <v>162136878405.17</v>
      </c>
      <c r="D8" s="18">
        <f>D6*D7</f>
        <v>176638450126.24146</v>
      </c>
      <c r="E8" s="18">
        <f>E6*E7</f>
        <v>190810956053.8535</v>
      </c>
      <c r="F8" s="18">
        <f>F6*F7</f>
        <v>204364027131.12888</v>
      </c>
      <c r="G8" s="18">
        <f>G6*G7</f>
        <v>216998430705.92285</v>
      </c>
      <c r="H8" s="18">
        <f>H6*H7</f>
        <v>228416296421.37836</v>
      </c>
      <c r="I8" s="18">
        <f>I6*I7</f>
        <v>238332194008.44052</v>
      </c>
      <c r="J8" s="18">
        <f>J6*J7</f>
        <v>246484527297.8566</v>
      </c>
      <c r="K8" s="18">
        <f>K6*K7</f>
        <v>252646640480.30298</v>
      </c>
    </row>
    <row r="9" spans="1:11" x14ac:dyDescent="0.25">
      <c r="A9" t="s">
        <v>52</v>
      </c>
      <c r="B9" s="18">
        <f>B8*(1-Assumptions!B8)</f>
        <v>124103106279.0125</v>
      </c>
      <c r="C9" s="18">
        <f>C8*(1-Assumptions!B8)</f>
        <v>136345388983.47957</v>
      </c>
      <c r="D9" s="18">
        <f>D8*(1-Assumptions!B8)</f>
        <v>148540162045.78287</v>
      </c>
      <c r="E9" s="18">
        <f>E8*(1-Assumptions!B8)</f>
        <v>160458214573.8579</v>
      </c>
      <c r="F9" s="18">
        <f>F8*(1-Assumptions!B8)</f>
        <v>171855367190.3902</v>
      </c>
      <c r="G9" s="18">
        <f>G8*(1-Assumptions!B8)</f>
        <v>182479986875.46127</v>
      </c>
      <c r="H9" s="18">
        <f>H8*(1-Assumptions!B8)</f>
        <v>192081586200.96844</v>
      </c>
      <c r="I9" s="18">
        <f>I8*(1-Assumptions!B8)</f>
        <v>200420138952.98212</v>
      </c>
      <c r="J9" s="18">
        <f>J8*(1-Assumptions!B8)</f>
        <v>207275661671.8219</v>
      </c>
      <c r="K9" s="18">
        <f>K8*(1-Assumptions!B8)</f>
        <v>212457553213.6174</v>
      </c>
    </row>
    <row r="10" spans="1:11" x14ac:dyDescent="0.25">
      <c r="A10" t="s">
        <v>53</v>
      </c>
      <c r="B10" s="18">
        <f>B6*Assumptions!B9</f>
        <v>13802522690.787413</v>
      </c>
      <c r="C10" s="18">
        <f>C6*Assumptions!B9</f>
        <v>15164087198.572958</v>
      </c>
      <c r="D10" s="18">
        <f>D6*Assumptions!B9</f>
        <v>16520367770.011883</v>
      </c>
      <c r="E10" s="18">
        <f>E6*Assumptions!B9</f>
        <v>17845871984.861427</v>
      </c>
      <c r="F10" s="18">
        <f>F6*Assumptions!B9</f>
        <v>19113442655.061943</v>
      </c>
      <c r="G10" s="18">
        <f>G6*Assumptions!B9</f>
        <v>20295093611.924255</v>
      </c>
      <c r="H10" s="18">
        <f>H6*Assumptions!B9</f>
        <v>21362966097.4059</v>
      </c>
      <c r="I10" s="18">
        <f>I6*Assumptions!B9</f>
        <v>22290364830.75622</v>
      </c>
      <c r="J10" s="18">
        <f>J6*Assumptions!B9</f>
        <v>23052823650.048454</v>
      </c>
      <c r="K10" s="18">
        <f>K6*Assumptions!B9</f>
        <v>23629144241.299664</v>
      </c>
    </row>
    <row r="11" spans="1:11" x14ac:dyDescent="0.25">
      <c r="A11" t="s">
        <v>54</v>
      </c>
      <c r="B11" s="18">
        <f>-B6*B19</f>
        <v>-13189830466.387459</v>
      </c>
      <c r="C11" s="18">
        <f>-C6*C19</f>
        <v>-15196976385.055445</v>
      </c>
      <c r="D11" s="18">
        <f>-D6*D19</f>
        <v>-17325366401.993263</v>
      </c>
      <c r="E11" s="18">
        <f>-E6*E19</f>
        <v>-19546340975.309784</v>
      </c>
      <c r="F11" s="18">
        <f>-F6*F19</f>
        <v>-21824592074.19914</v>
      </c>
      <c r="G11" s="18">
        <f>-G6*G19</f>
        <v>-24118768884.093277</v>
      </c>
      <c r="H11" s="18">
        <f>-H6*H19</f>
        <v>-26382465932.650654</v>
      </c>
      <c r="I11" s="18">
        <f>-I6*I19</f>
        <v>-28565580491.785965</v>
      </c>
      <c r="J11" s="18">
        <f>-J6*J19</f>
        <v>-30615998685.387028</v>
      </c>
      <c r="K11" s="18">
        <f>-K6*K19</f>
        <v>-32481542291.867058</v>
      </c>
    </row>
    <row r="12" spans="1:11" x14ac:dyDescent="0.25">
      <c r="A12" t="s">
        <v>55</v>
      </c>
      <c r="B12" s="18">
        <f>-(B6-Assumptions!B29)*Assumptions!B11</f>
        <v>4368641736.387462</v>
      </c>
      <c r="C12" s="18">
        <f>-(C6-B6)*Assumptions!B11</f>
        <v>3348330430.691948</v>
      </c>
      <c r="D12" s="18">
        <f>-(D6-C6)*Assumptions!B11</f>
        <v>3335336286.9976473</v>
      </c>
      <c r="E12" s="18">
        <f>-(E6-D6)*Assumptions!B11</f>
        <v>3259651726.5344415</v>
      </c>
      <c r="F12" s="18">
        <f>-(F6-E6)*Assumptions!B11</f>
        <v>3117182787.7533603</v>
      </c>
      <c r="G12" s="18">
        <f>-(G6-F6)*Assumptions!B11</f>
        <v>2905890859.1509256</v>
      </c>
      <c r="H12" s="18">
        <f>-(H6-G6)*Assumptions!B11</f>
        <v>2626089266.2751536</v>
      </c>
      <c r="I12" s="18">
        <f>-(I6-H6)*Assumptions!B11</f>
        <v>2280639207.6952877</v>
      </c>
      <c r="J12" s="18">
        <f>-(J6-I6)*Assumptions!B11</f>
        <v>1875022484.9337442</v>
      </c>
      <c r="K12" s="18">
        <f>-(K6-J6)*Assumptions!B11</f>
        <v>1417275320.0355465</v>
      </c>
    </row>
    <row r="13" spans="1:11" x14ac:dyDescent="0.25">
      <c r="A13" s="19" t="s">
        <v>56</v>
      </c>
      <c r="B13" s="20">
        <f>B9+B10+B11+B12</f>
        <v>129084440239.79991</v>
      </c>
      <c r="C13" s="20">
        <f>C9+C10+C11+C12</f>
        <v>139660830227.68903</v>
      </c>
      <c r="D13" s="20">
        <f>D9+D10+D11+D12</f>
        <v>151070499700.79913</v>
      </c>
      <c r="E13" s="20">
        <f>E9+E10+E11+E12</f>
        <v>162017397309.944</v>
      </c>
      <c r="F13" s="20">
        <f>F9+F10+F11+F12</f>
        <v>172261400559.00638</v>
      </c>
      <c r="G13" s="20">
        <f>G9+G10+G11+G12</f>
        <v>181562202462.44318</v>
      </c>
      <c r="H13" s="20">
        <f>H9+H10+H11+H12</f>
        <v>189688175631.9988</v>
      </c>
      <c r="I13" s="20">
        <f>I9+I10+I11+I12</f>
        <v>196425562499.64767</v>
      </c>
      <c r="J13" s="20">
        <f>J9+J10+J11+J12</f>
        <v>201587509121.41708</v>
      </c>
      <c r="K13" s="20">
        <f>K9+K10+K11+K12</f>
        <v>205022430483.08554</v>
      </c>
    </row>
    <row r="14" spans="1:11" x14ac:dyDescent="0.25">
      <c r="A14" t="s">
        <v>57</v>
      </c>
      <c r="B14" s="21">
        <f>1/(1+Assumptions!$B$26)^(1-0.5*Assumptions!$B$32)</f>
        <v>0.9567218954994853</v>
      </c>
      <c r="C14" s="21">
        <f>1/(1+Assumptions!$B$26)^(2-0.5*Assumptions!$B$32)</f>
        <v>0.8757036098416223</v>
      </c>
      <c r="D14" s="21">
        <f>1/(1+Assumptions!$B$26)^(3-0.5*Assumptions!$B$32)</f>
        <v>0.8015462130604711</v>
      </c>
      <c r="E14" s="21">
        <f>1/(1+Assumptions!$B$26)^(4-0.5*Assumptions!$B$32)</f>
        <v>0.7336687030304454</v>
      </c>
      <c r="F14" s="21">
        <f>1/(1+Assumptions!$B$26)^(5-0.5*Assumptions!$B$32)</f>
        <v>0.6715392787536845</v>
      </c>
      <c r="G14" s="21">
        <f>1/(1+Assumptions!$B$26)^(6-0.5*Assumptions!$B$32)</f>
        <v>0.6146711738503923</v>
      </c>
      <c r="H14" s="21">
        <f>1/(1+Assumptions!$B$26)^(7-0.5*Assumptions!$B$32)</f>
        <v>0.5626188428826081</v>
      </c>
      <c r="I14" s="21">
        <f>1/(1+Assumptions!$B$26)^(8-0.5*Assumptions!$B$32)</f>
        <v>0.51497447063234</v>
      </c>
      <c r="J14" s="21">
        <f>1/(1+Assumptions!$B$26)^(9-0.5*Assumptions!$B$32)</f>
        <v>0.47136477698524804</v>
      </c>
      <c r="K14" s="21">
        <f>1/(1+Assumptions!$B$26)^(10-0.5*Assumptions!$B$32)</f>
        <v>0.4314480923870473</v>
      </c>
    </row>
    <row r="15" spans="1:11" x14ac:dyDescent="0.25">
      <c r="A15" s="19" t="s">
        <v>58</v>
      </c>
      <c r="B15" s="20">
        <f>B13*B14</f>
        <v>123497910345.71141</v>
      </c>
      <c r="C15" s="20">
        <f>C13*C14</f>
        <v>122301493183.86525</v>
      </c>
      <c r="D15" s="20">
        <f>D13*D14</f>
        <v>121089986940.32858</v>
      </c>
      <c r="E15" s="20">
        <f>E13*E14</f>
        <v>118867093752.75499</v>
      </c>
      <c r="F15" s="20">
        <f>F13*F14</f>
        <v>115680296688.49467</v>
      </c>
      <c r="G15" s="20">
        <f>G13*G14</f>
        <v>111601052114.45253</v>
      </c>
      <c r="H15" s="20">
        <f>H13*H14</f>
        <v>106722141882.5881</v>
      </c>
      <c r="I15" s="20">
        <f>I13*I14</f>
        <v>101154150066.91568</v>
      </c>
      <c r="J15" s="20">
        <f>J13*J14</f>
        <v>95021251280.02841</v>
      </c>
      <c r="K15" s="20">
        <f>K13*K14</f>
        <v>88456536528.48328</v>
      </c>
    </row>
    <row r="17" spans="1:2" x14ac:dyDescent="0.25">
      <c r="A17" s="22" t="s">
        <v>59</v>
      </c>
      <c r="B17" s="23">
        <f>SUM(B15:K15)</f>
        <v>1104391912783.623</v>
      </c>
    </row>
    <row r="19" spans="1:11" x14ac:dyDescent="0.25">
      <c r="A19" t="s">
        <v>7</v>
      </c>
      <c r="B19" s="9">
        <f>Assumptions!$B$10+($B$20-Assumptions!$B$10)*0/9</f>
        <v>0.02761485036770544</v>
      </c>
      <c r="C19" s="9">
        <f>Assumptions!$B$10+($B$20-Assumptions!$B$10)*1/9</f>
        <v>0.02896028731394923</v>
      </c>
      <c r="D19" s="9">
        <f>Assumptions!$B$10+($B$20-Assumptions!$B$10)*2/9</f>
        <v>0.030305724260193023</v>
      </c>
      <c r="E19" s="9">
        <f>Assumptions!$B$10+($B$20-Assumptions!$B$10)*3/9</f>
        <v>0.031651161206436816</v>
      </c>
      <c r="F19" s="9">
        <f>Assumptions!$B$10+($B$20-Assumptions!$B$10)*4/9</f>
        <v>0.032996598152680606</v>
      </c>
      <c r="G19" s="9">
        <f>Assumptions!$B$10+($B$20-Assumptions!$B$10)*5/9</f>
        <v>0.034342035098924396</v>
      </c>
      <c r="H19" s="9">
        <f>Assumptions!$B$10+($B$20-Assumptions!$B$10)*6/9</f>
        <v>0.035687472045168186</v>
      </c>
      <c r="I19" s="9">
        <f>Assumptions!$B$10+($B$20-Assumptions!$B$10)*7/9</f>
        <v>0.037032908991411984</v>
      </c>
      <c r="J19" s="9">
        <f>Assumptions!$B$10+($B$20-Assumptions!$B$10)*8/9</f>
        <v>0.038378345937655774</v>
      </c>
      <c r="K19" s="9">
        <f>Assumptions!$B$10+($B$20-Assumptions!$B$10)*9/9</f>
        <v>0.039723782883899564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0.039723782883899564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205022430483.08554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212457553213.6174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0.04166666666666667</v>
      </c>
    </row>
    <row r="7" spans="1:2" x14ac:dyDescent="0.25">
      <c r="A7" t="s">
        <v>66</v>
      </c>
      <c r="B7" s="18">
        <f>-MAX(B5,0)*B6</f>
        <v>-8852398050.567392</v>
      </c>
    </row>
    <row r="8" spans="1:2" x14ac:dyDescent="0.25">
      <c r="A8" t="s">
        <v>67</v>
      </c>
      <c r="B8" s="18">
        <f>IF(OR(Assumptions!$B$33=0,Assumptions!B12&lt;=0),B5,MAX(B5+B7,0))</f>
        <v>203605155163.05002</v>
      </c>
    </row>
    <row r="9" spans="1:2" x14ac:dyDescent="0.25">
      <c r="A9" t="s">
        <v>68</v>
      </c>
      <c r="B9" s="18">
        <f>B8*(1+Assumptions!B12)/(Assumptions!B26-Assumptions!B12)</f>
        <v>3090960915041.854</v>
      </c>
    </row>
    <row r="10" spans="1:2" x14ac:dyDescent="0.25">
      <c r="A10" t="s">
        <v>69</v>
      </c>
      <c r="B10" s="18">
        <f>B9/(1+Assumptions!B26)^(10-0.5*Assumptions!B32)</f>
        <v>1333589190437.73</v>
      </c>
    </row>
    <row r="11" spans="1:2" x14ac:dyDescent="0.25">
      <c r="A11" t="s">
        <v>70</v>
      </c>
      <c r="B11" s="18">
        <f>Forecast!B17+B10</f>
        <v>2437981103221.353</v>
      </c>
    </row>
    <row r="12" spans="1:2" x14ac:dyDescent="0.25">
      <c r="A12" t="s">
        <v>71</v>
      </c>
      <c r="B12" s="18">
        <f>-Assumptions!B30</f>
        <v>-43960000000</v>
      </c>
    </row>
    <row r="13" spans="1:2" x14ac:dyDescent="0.25">
      <c r="A13" t="s">
        <v>72</v>
      </c>
      <c r="B13" s="18">
        <f>B11+B12</f>
        <v>2394021103221.353</v>
      </c>
    </row>
    <row r="14" spans="1:2" x14ac:dyDescent="0.25">
      <c r="A14" s="19" t="s">
        <v>73</v>
      </c>
      <c r="B14" s="24">
        <f>B13/Assumptions!B31</f>
        <v>159.55144600529775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276275784721.60266</v>
      </c>
    </row>
    <row r="18" spans="1:2" x14ac:dyDescent="0.25">
      <c r="A18" t="s">
        <v>68</v>
      </c>
      <c r="B18" s="18">
        <f>B17*Assumptions!B13</f>
        <v>5525515694432.053</v>
      </c>
    </row>
    <row r="19" spans="1:2" x14ac:dyDescent="0.25">
      <c r="A19" t="s">
        <v>69</v>
      </c>
      <c r="B19" s="18">
        <f>B18/(1+Assumptions!B26)^(10-0.5*Assumptions!B32)</f>
        <v>2383973205817.4</v>
      </c>
    </row>
    <row r="20" spans="1:2" x14ac:dyDescent="0.25">
      <c r="A20" t="s">
        <v>70</v>
      </c>
      <c r="B20" s="18">
        <f>Forecast!B17+B19</f>
        <v>3488365118601.023</v>
      </c>
    </row>
    <row r="21" spans="1:2" x14ac:dyDescent="0.25">
      <c r="A21" t="s">
        <v>71</v>
      </c>
      <c r="B21" s="18">
        <f>-Assumptions!B30</f>
        <v>-43960000000</v>
      </c>
    </row>
    <row r="22" spans="1:2" x14ac:dyDescent="0.25">
      <c r="A22" t="s">
        <v>72</v>
      </c>
      <c r="B22" s="18">
        <f>B20+B21</f>
        <v>3444405118601.023</v>
      </c>
    </row>
    <row r="23" spans="1:2" x14ac:dyDescent="0.25">
      <c r="A23" s="19" t="s">
        <v>73</v>
      </c>
      <c r="B23" s="25">
        <f>B22/Assumptions!B31</f>
        <v>229.55512654477613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344.63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159.55144600529775</v>
      </c>
    </row>
    <row r="29" spans="1:2" x14ac:dyDescent="0.25">
      <c r="A29" s="19" t="s">
        <v>81</v>
      </c>
      <c r="B29" s="11">
        <f>B28/B26-1</f>
        <v>-0.5370355279421474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0.072518</v>
      </c>
      <c r="B5" s="31">
        <v>203.40489449990974</v>
      </c>
      <c r="C5" s="31">
        <v>214.50036723233228</v>
      </c>
      <c r="D5" s="31">
        <v>227.98729502051248</v>
      </c>
      <c r="E5" s="31">
        <v>244.7093634996252</v>
      </c>
      <c r="F5" s="31">
        <v>265.9600080970384</v>
      </c>
    </row>
    <row r="6" spans="1:6" x14ac:dyDescent="0.25">
      <c r="A6" s="30">
        <v>0.082518</v>
      </c>
      <c r="B6" s="31">
        <v>172.2885042711545</v>
      </c>
      <c r="C6" s="31">
        <v>179.40785514249066</v>
      </c>
      <c r="D6" s="31">
        <v>187.80904049721448</v>
      </c>
      <c r="E6" s="31">
        <v>197.85817323472833</v>
      </c>
      <c r="F6" s="31">
        <v>210.0754606605133</v>
      </c>
    </row>
    <row r="7" spans="1:6" x14ac:dyDescent="0.25">
      <c r="A7" s="30">
        <v>0.092518</v>
      </c>
      <c r="B7" s="31">
        <v>149.2451201818462</v>
      </c>
      <c r="C7" s="31">
        <v>154.0263703681351</v>
      </c>
      <c r="D7" s="32">
        <v>159.55127861116193</v>
      </c>
      <c r="E7" s="31">
        <v>165.9982714576982</v>
      </c>
      <c r="F7" s="31">
        <v>173.60781744024933</v>
      </c>
    </row>
    <row r="8" spans="1:6" x14ac:dyDescent="0.25">
      <c r="A8" s="30">
        <v>0.102518</v>
      </c>
      <c r="B8" s="31">
        <v>131.50495963556872</v>
      </c>
      <c r="C8" s="31">
        <v>134.82379038301198</v>
      </c>
      <c r="D8" s="31">
        <v>138.6000400052129</v>
      </c>
      <c r="E8" s="31">
        <v>142.9283233994571</v>
      </c>
      <c r="F8" s="31">
        <v>147.9312820329185</v>
      </c>
    </row>
    <row r="9" spans="1:6" x14ac:dyDescent="0.25">
      <c r="A9" s="30">
        <v>0.112518</v>
      </c>
      <c r="B9" s="31">
        <v>117.43450737196679</v>
      </c>
      <c r="C9" s="31">
        <v>119.79518687744765</v>
      </c>
      <c r="D9" s="31">
        <v>122.45017568149244</v>
      </c>
      <c r="E9" s="31">
        <v>125.45297289312538</v>
      </c>
      <c r="F9" s="31">
        <v>128.87088063719253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416161000000</v>
      </c>
      <c r="C5" s="18">
        <v>391035000000</v>
      </c>
      <c r="D5" s="18">
        <v>383285000000</v>
      </c>
      <c r="E5" s="18">
        <v>394328000000</v>
      </c>
      <c r="F5" s="6" t="s">
        <v>91</v>
      </c>
    </row>
    <row r="6" spans="1:6" x14ac:dyDescent="0.25">
      <c r="A6" t="s">
        <v>51</v>
      </c>
      <c r="B6" s="18">
        <v>133050000000</v>
      </c>
      <c r="C6" s="18">
        <v>123216000000</v>
      </c>
      <c r="D6" s="18">
        <v>114301000000</v>
      </c>
      <c r="E6" s="18">
        <v>119437000000</v>
      </c>
      <c r="F6" s="6" t="s">
        <v>92</v>
      </c>
    </row>
    <row r="7" spans="1:6" x14ac:dyDescent="0.25">
      <c r="A7" t="s">
        <v>93</v>
      </c>
      <c r="B7" s="18">
        <v>11698000000</v>
      </c>
      <c r="C7" s="18">
        <v>11445000000</v>
      </c>
      <c r="D7" s="18">
        <v>11519000000</v>
      </c>
      <c r="E7" s="18">
        <v>11104000000</v>
      </c>
      <c r="F7" s="6" t="s">
        <v>94</v>
      </c>
    </row>
    <row r="8" spans="1:6" x14ac:dyDescent="0.25">
      <c r="A8" t="s">
        <v>95</v>
      </c>
      <c r="B8" s="18">
        <v>12715000000</v>
      </c>
      <c r="C8" s="18">
        <v>9447000000</v>
      </c>
      <c r="D8" s="18">
        <v>10959000000</v>
      </c>
      <c r="E8" s="18">
        <v>10708000000</v>
      </c>
      <c r="F8" s="6" t="s">
        <v>96</v>
      </c>
    </row>
    <row r="9" spans="1:6" x14ac:dyDescent="0.25">
      <c r="A9" t="s">
        <v>97</v>
      </c>
      <c r="B9" s="18">
        <v>25000000000</v>
      </c>
      <c r="C9" s="18">
        <v>-3651000000</v>
      </c>
      <c r="D9" s="18">
        <v>6577000000</v>
      </c>
      <c r="E9" s="18">
        <v>-1200000000</v>
      </c>
      <c r="F9" s="6" t="s">
        <v>98</v>
      </c>
    </row>
    <row r="10" spans="1:6" x14ac:dyDescent="0.25">
      <c r="A10" t="s">
        <v>99</v>
      </c>
      <c r="B10" s="18">
        <v>98657000000</v>
      </c>
      <c r="C10" s="18">
        <v>106629000000</v>
      </c>
      <c r="D10" s="18">
        <v>111088000000</v>
      </c>
      <c r="E10" s="18">
        <v>132480000000</v>
      </c>
      <c r="F10" s="6" t="s">
        <v>100</v>
      </c>
    </row>
    <row r="11" spans="1:6" x14ac:dyDescent="0.25">
      <c r="A11" t="s">
        <v>101</v>
      </c>
      <c r="B11" s="18">
        <v>54697000000</v>
      </c>
      <c r="C11" s="18">
        <v>65171000000</v>
      </c>
      <c r="D11" s="18">
        <v>61555000000</v>
      </c>
      <c r="E11" s="18">
        <v>48304000000</v>
      </c>
      <c r="F11" s="6" t="s">
        <v>102</v>
      </c>
    </row>
    <row r="12" spans="1:6" x14ac:dyDescent="0.25">
      <c r="A12" t="s">
        <v>34</v>
      </c>
      <c r="B12" s="34">
        <v>15004697000</v>
      </c>
      <c r="C12" s="34">
        <v>15408095000</v>
      </c>
      <c r="D12" s="34">
        <v>15812547000</v>
      </c>
      <c r="E12" s="34">
        <v>16325819000</v>
      </c>
      <c r="F12" s="6" t="s">
        <v>103</v>
      </c>
    </row>
    <row r="15" spans="1:1" x14ac:dyDescent="0.25">
      <c r="A15" s="19" t="s">
        <v>104</v>
      </c>
    </row>
    <row r="16" ht="38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