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<sst xmlns="http://schemas.openxmlformats.org/spreadsheetml/2006/main" count="112" uniqueCount="100">
  <si>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Apple Inc. (AAPL)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</si>
  <si>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</si>
  <si>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</si>
  <si>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</si>
  <si>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</si>
  <si>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</si>
  <si>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</si>
  <si>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</si>
  <si>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</si>
  <si>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</si>
  <si>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</si>
  <si>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</si>
  <si>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</si>
  <si>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</si>
  <si>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</si>
  <si>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</si>
  <si>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</si>
  <si>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</si>
  <si>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</si>
  <si>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</si>
  <si>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</si>
  <si>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</si>
  <si>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</si>
  <si>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</si>
  <si>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</si>
  <si>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</si>
  <si>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</si>
  <si>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</si>
  <si>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</si>
  <si>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</si>
  <si>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</si>
  <si>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</si>
  <si>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</si>
  <si>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</si>
  <si>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</si>
  <si>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</si>
  <si>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</si>
  <si>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</si>
  <si>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</si>
  <si>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</si>
  <si>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</si>
  <si>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</si>
  <si>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</si>
  <si>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</si>
  <si>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</si>
  <si>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</si>
  <si>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</si>
  <si>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</si>
  <si>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</si>
  <si>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</si>
  <si>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</si>
  <si>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</si>
  <si>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</si>
  <si>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</si>
  <si>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</si>
  <si>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</si>
  <si>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</si>
  <si>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</si>
  <si>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</si>
  <si>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</si>
  <si>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</si>
  <si>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</si>
  <si>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</si>
  <si>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</si>
  <si>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</si>
  <si>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</si>
  <si>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</si>
  <si>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</si>
  <si>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</si>
  <si>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</si>
  <si>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</si>
  <si>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</si>
  <si>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</si>
  <si>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</si>
  <si>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</si>
  <si>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</si>
  <si>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</si>
  <si>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</si>
  <si>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</si>
  <si>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</si>
  <si>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</si>
  <si>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</si>
  <si>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</si>
  <si>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</si>
  <si>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</si>
  <si>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</si>
  <si>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</si>
  <si>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</si>
  <si>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</si>
  <si>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</si>
  <si>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</si>
  <si>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</si>
  <si>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</si>
  <si>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</si>
  <si>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</si>
  <si>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</si>
  <si>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</si>
  <si>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</si>
  <si>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34.2x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</si>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</sst>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0.01812535743479393</v>
      </c>
    </row>
    <row r="7" spans="1:2" x14ac:dyDescent="0.25">
      <c r="A7" t="s">
        <v>5</v>
      </c>
      <c r="B7" s="6">
        <v>0.3089779482330519</v>
      </c>
    </row>
    <row r="8" spans="1:2" x14ac:dyDescent="0.25">
      <c r="A8" t="s">
        <v>6</v>
      </c>
      <c r="B8" s="6">
        <v>0.15907232010005223</v>
      </c>
    </row>
    <row r="9" spans="1:2" x14ac:dyDescent="0.25">
      <c r="A9" t="s">
        <v>7</v>
      </c>
      <c r="B9" s="6">
        <v>0.028897611669405125</v>
      </c>
    </row>
    <row r="10" spans="1:2" x14ac:dyDescent="0.25">
      <c r="A10" t="s">
        <v>8</v>
      </c>
      <c r="B10" s="6">
        <v>0.02761485036770544</v>
      </c>
    </row>
    <row r="11" spans="1:2" x14ac:dyDescent="0.25">
      <c r="A11" t="s">
        <v>9</v>
      </c>
      <c r="B11" s="6">
        <v>-0.4710967741935484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1.05695</v>
      </c>
      <c r="C19" s="8" t="s">
        <v>19</v>
      </c>
    </row>
    <row r="20" spans="1:2" x14ac:dyDescent="0.25">
      <c r="A20" t="s">
        <v>20</v>
      </c>
      <c r="B20" s="10">
        <f>B17+B19*B18</f>
        <v>0.10811225000000001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4905541566464</v>
      </c>
    </row>
    <row r="23" spans="1:2" x14ac:dyDescent="0.25">
      <c r="A23" t="s">
        <v>24</v>
      </c>
      <c r="B23" s="11">
        <v>98657000000</v>
      </c>
    </row>
    <row r="24" spans="1:2" x14ac:dyDescent="0.25">
      <c r="A24" t="s">
        <v>25</v>
      </c>
      <c r="B24" s="10">
        <f>B22/(B22+B23)</f>
        <v>0.9802851548175652</v>
      </c>
    </row>
    <row r="25" spans="1:2" x14ac:dyDescent="0.25">
      <c r="A25" t="s">
        <v>26</v>
      </c>
      <c r="B25" s="10">
        <f>1-B24</f>
        <v>0.019714845182434826</v>
      </c>
    </row>
    <row r="26" spans="1:2" x14ac:dyDescent="0.25">
      <c r="A26" t="s">
        <v>27</v>
      </c>
      <c r="B26" s="12">
        <f>B24*B20+B25*B21*(1-B8)</f>
        <v>0.10714101528506455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416161000000</v>
      </c>
      <c r="C29" s="8" t="s">
        <v>30</v>
      </c>
    </row>
    <row r="30" spans="1:2" x14ac:dyDescent="0.25">
      <c r="A30" t="s">
        <v>31</v>
      </c>
      <c r="B30" s="11">
        <v>43960000000</v>
      </c>
    </row>
    <row r="31" spans="1:2" x14ac:dyDescent="0.25">
      <c r="A31" t="s">
        <v>32</v>
      </c>
      <c r="B31" s="13">
        <v>15004697000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0.01812535743479393</v>
      </c>
      <c r="C5" s="10">
        <f>Assumptions!B6</f>
        <v>0.01812535743479393</v>
      </c>
      <c r="D5" s="10">
        <f>Assumptions!B6</f>
        <v>0.01812535743479393</v>
      </c>
      <c r="E5" s="10">
        <f>Assumptions!B6</f>
        <v>0.01812535743479393</v>
      </c>
      <c r="F5" s="10">
        <f>Assumptions!B6</f>
        <v>0.01812535743479393</v>
      </c>
    </row>
    <row r="6" spans="1:6" x14ac:dyDescent="0.25">
      <c r="A6" t="s">
        <v>43</v>
      </c>
      <c r="B6" s="18">
        <f>Assumptions!B29*(1+B5)</f>
        <v>423704066875.42126</v>
      </c>
      <c r="C6" s="18">
        <f>B6*(1+C5)</f>
        <v>431383854534.11414</v>
      </c>
      <c r="D6" s="18">
        <f>C6*(1+D5)</f>
        <v>439202841089.1441</v>
      </c>
      <c r="E6" s="18">
        <f>D6*(1+E5)</f>
        <v>447163549570.26184</v>
      </c>
      <c r="F6" s="18">
        <f>E6*(1+F5)</f>
        <v>455268548738.03406</v>
      </c>
    </row>
    <row r="7" spans="1:6" x14ac:dyDescent="0.25">
      <c r="A7" t="s">
        <v>5</v>
      </c>
      <c r="B7" s="10">
        <f>Assumptions!B7</f>
        <v>0.3089779482330519</v>
      </c>
      <c r="C7" s="10">
        <f>Assumptions!B7</f>
        <v>0.3089779482330519</v>
      </c>
      <c r="D7" s="10">
        <f>Assumptions!B7</f>
        <v>0.3089779482330519</v>
      </c>
      <c r="E7" s="10">
        <f>Assumptions!B7</f>
        <v>0.3089779482330519</v>
      </c>
      <c r="F7" s="10">
        <f>Assumptions!B7</f>
        <v>0.3089779482330519</v>
      </c>
    </row>
    <row r="8" spans="1:6" x14ac:dyDescent="0.25">
      <c r="A8" t="s">
        <v>44</v>
      </c>
      <c r="B8" s="18">
        <f>B6*B7</f>
        <v>130915213241.16748</v>
      </c>
      <c r="C8" s="18">
        <f>C6*C7</f>
        <v>133288098274.81592</v>
      </c>
      <c r="D8" s="18">
        <f>D6*D7</f>
        <v>135703992697.85089</v>
      </c>
      <c r="E8" s="18">
        <f>E6*E7</f>
        <v>138163676070.8281</v>
      </c>
      <c r="F8" s="18">
        <f>F6*F7</f>
        <v>140667942084.11697</v>
      </c>
    </row>
    <row r="9" spans="1:6" x14ac:dyDescent="0.25">
      <c r="A9" t="s">
        <v>45</v>
      </c>
      <c r="B9" s="18">
        <f>B8*(1-Assumptions!B8)</f>
        <v>110090226534.50189</v>
      </c>
      <c r="C9" s="18">
        <f>C8*(1-Assumptions!B8)</f>
        <v>112085651240.51718</v>
      </c>
      <c r="D9" s="18">
        <f>D8*(1-Assumptions!B8)</f>
        <v>114117243732.5632</v>
      </c>
      <c r="E9" s="18">
        <f>E8*(1-Assumptions!B8)</f>
        <v>116185659564.6894</v>
      </c>
      <c r="F9" s="18">
        <f>F8*(1-Assumptions!B8)</f>
        <v>118291566173.09671</v>
      </c>
    </row>
    <row r="10" spans="1:6" x14ac:dyDescent="0.25">
      <c r="A10" t="s">
        <v>46</v>
      </c>
      <c r="B10" s="18">
        <f>B6*Assumptions!B9</f>
        <v>12244035587.313583</v>
      </c>
      <c r="C10" s="18">
        <f>C6*Assumptions!B9</f>
        <v>12465963108.777979</v>
      </c>
      <c r="D10" s="18">
        <f>D6*Assumptions!B9</f>
        <v>12691913145.893536</v>
      </c>
      <c r="E10" s="18">
        <f>E6*Assumptions!B9</f>
        <v>12921958608.194216</v>
      </c>
      <c r="F10" s="18">
        <f>F6*Assumptions!B9</f>
        <v>13156173726.72535</v>
      </c>
    </row>
    <row r="11" spans="1:6" x14ac:dyDescent="0.25">
      <c r="A11" t="s">
        <v>47</v>
      </c>
      <c r="B11" s="18">
        <f>-B6*Assumptions!B10</f>
        <v>-11700524406.953016</v>
      </c>
      <c r="C11" s="18">
        <f>-C6*Assumptions!B10</f>
        <v>-11912600594.00357</v>
      </c>
      <c r="D11" s="18">
        <f>-D6*Assumptions!B10</f>
        <v>-12128520737.747824</v>
      </c>
      <c r="E11" s="18">
        <f>-E6*Assumptions!B10</f>
        <v>-12348354511.274815</v>
      </c>
      <c r="F11" s="18">
        <f>-F6*Assumptions!B10</f>
        <v>-12572172850.523222</v>
      </c>
    </row>
    <row r="12" spans="1:6" x14ac:dyDescent="0.25">
      <c r="A12" t="s">
        <v>48</v>
      </c>
      <c r="B12" s="18">
        <f>-(B6-Assumptions!B29)*Assumptions!B11</f>
        <v>3553514472.537166</v>
      </c>
      <c r="C12" s="18">
        <f>-(C6-B6)*Assumptions!B11</f>
        <v>3617923192.501635</v>
      </c>
      <c r="D12" s="18">
        <f>-(D6-C6)*Assumptions!B11</f>
        <v>3683499343.537344</v>
      </c>
      <c r="E12" s="18">
        <f>-(E6-D6)*Assumptions!B11</f>
        <v>3750264085.7497883</v>
      </c>
      <c r="F12" s="18">
        <f>-(F6-E6)*Assumptions!B11</f>
        <v>3818238962.778886</v>
      </c>
    </row>
    <row r="13" spans="1:6" x14ac:dyDescent="0.25">
      <c r="A13" s="19" t="s">
        <v>49</v>
      </c>
      <c r="B13" s="20">
        <f>B9+B10+B11+B12</f>
        <v>114187252187.39963</v>
      </c>
      <c r="C13" s="20">
        <f>C9+C10+C11+C12</f>
        <v>116256936947.79323</v>
      </c>
      <c r="D13" s="20">
        <f>D9+D10+D11+D12</f>
        <v>118364135484.24626</v>
      </c>
      <c r="E13" s="20">
        <f>E9+E10+E11+E12</f>
        <v>120509527747.3586</v>
      </c>
      <c r="F13" s="20">
        <f>F9+F10+F11+F12</f>
        <v>122693806012.07771</v>
      </c>
    </row>
    <row r="14" spans="1:6" x14ac:dyDescent="0.25">
      <c r="A14" t="s">
        <v>50</v>
      </c>
      <c r="B14" s="21">
        <f>1/(1+Assumptions!$B$26)^(1-0.5*Assumptions!$B$32)</f>
        <v>0.9503827171580662</v>
      </c>
      <c r="C14" s="21">
        <f>1/(1+Assumptions!$B$26)^(2-0.5*Assumptions!$B$32)</f>
        <v>0.8584116242079276</v>
      </c>
      <c r="D14" s="21">
        <f>1/(1+Assumptions!$B$26)^(3-0.5*Assumptions!$B$32)</f>
        <v>0.7753408214100943</v>
      </c>
      <c r="E14" s="21">
        <f>1/(1+Assumptions!$B$26)^(4-0.5*Assumptions!$B$32)</f>
        <v>0.7003090037364943</v>
      </c>
      <c r="F14" s="21">
        <f>1/(1+Assumptions!$B$26)^(5-0.5*Assumptions!$B$32)</f>
        <v>0.6325382169643313</v>
      </c>
    </row>
    <row r="15" spans="1:6" x14ac:dyDescent="0.25">
      <c r="A15" s="19" t="s">
        <v>51</v>
      </c>
      <c r="B15" s="20">
        <f>B13*B14</f>
        <v>108521590998.6742</v>
      </c>
      <c r="C15" s="20">
        <f>C13*C14</f>
        <v>99796306070.79381</v>
      </c>
      <c r="D15" s="20">
        <f>D13*D14</f>
        <v>91772546031.85118</v>
      </c>
      <c r="E15" s="20">
        <f>E13*E14</f>
        <v>84393907317.50812</v>
      </c>
      <c r="F15" s="20">
        <f>F13*F14</f>
        <v>77608521287.44719</v>
      </c>
    </row>
    <row r="17" spans="1:2" x14ac:dyDescent="0.25">
      <c r="A17" s="22" t="s">
        <v>52</v>
      </c>
      <c r="B17" s="23">
        <f>SUM(B15:F15)</f>
        <v>462092871706.27454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122693806012.07771</v>
      </c>
    </row>
    <row r="5" spans="1:2" x14ac:dyDescent="0.25">
      <c r="A5" t="s">
        <v>56</v>
      </c>
      <c r="B5" s="18">
        <f>IF(Assumptions!$B$33=0,B4,B4-Forecast!F11-Forecast!F10-Forecast!F12)</f>
        <v>118291566173.09671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-4928815257.212363</v>
      </c>
    </row>
    <row r="8" spans="1:2" x14ac:dyDescent="0.25">
      <c r="A8" t="s">
        <v>59</v>
      </c>
      <c r="B8" s="18">
        <f>IF(OR(Assumptions!$B$33=0,Assumptions!B12&lt;=0),B5,MAX(B5+B7,0))</f>
        <v>113362750915.88435</v>
      </c>
    </row>
    <row r="9" spans="1:2" x14ac:dyDescent="0.25">
      <c r="A9" t="s">
        <v>60</v>
      </c>
      <c r="B9" s="18">
        <f>B8*(1+Assumptions!B12)/(Assumptions!B26-Assumptions!B12)</f>
        <v>1414601697891.4695</v>
      </c>
    </row>
    <row r="10" spans="1:2" x14ac:dyDescent="0.25">
      <c r="A10" t="s">
        <v>61</v>
      </c>
      <c r="B10" s="18">
        <f>B9/(1+Assumptions!B26)^(5-0.5*Assumptions!B32)</f>
        <v>894789635698.9858</v>
      </c>
    </row>
    <row r="11" spans="1:2" x14ac:dyDescent="0.25">
      <c r="A11" t="s">
        <v>62</v>
      </c>
      <c r="B11" s="18">
        <f>Forecast!B17+B10</f>
        <v>1356882507405.2603</v>
      </c>
    </row>
    <row r="12" spans="1:2" x14ac:dyDescent="0.25">
      <c r="A12" t="s">
        <v>63</v>
      </c>
      <c r="B12" s="18">
        <f>-Assumptions!B30</f>
        <v>-43960000000</v>
      </c>
    </row>
    <row r="13" spans="1:2" x14ac:dyDescent="0.25">
      <c r="A13" t="s">
        <v>64</v>
      </c>
      <c r="B13" s="18">
        <f>B11+B12</f>
        <v>1312922507405.2603</v>
      </c>
    </row>
    <row r="14" spans="1:2" x14ac:dyDescent="0.25">
      <c r="A14" s="19" t="s">
        <v>65</v>
      </c>
      <c r="B14" s="24">
        <f>B13/Assumptions!B31</f>
        <v>87.50076775327487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153824115810.84232</v>
      </c>
    </row>
    <row r="18" spans="1:2" x14ac:dyDescent="0.25">
      <c r="A18" t="s">
        <v>60</v>
      </c>
      <c r="B18" s="18">
        <f>B17*Assumptions!B13</f>
        <v>3076482316216.846</v>
      </c>
    </row>
    <row r="19" spans="1:2" x14ac:dyDescent="0.25">
      <c r="A19" t="s">
        <v>61</v>
      </c>
      <c r="B19" s="18">
        <f>B18/(1+Assumptions!B26)^(5-0.5*Assumptions!B32)</f>
        <v>1945992638822.1</v>
      </c>
    </row>
    <row r="20" spans="1:2" x14ac:dyDescent="0.25">
      <c r="A20" t="s">
        <v>62</v>
      </c>
      <c r="B20" s="18">
        <f>Forecast!B17+B19</f>
        <v>2408085510528.3745</v>
      </c>
    </row>
    <row r="21" spans="1:2" x14ac:dyDescent="0.25">
      <c r="A21" t="s">
        <v>63</v>
      </c>
      <c r="B21" s="18">
        <f>-Assumptions!B30</f>
        <v>-43960000000</v>
      </c>
    </row>
    <row r="22" spans="1:2" x14ac:dyDescent="0.25">
      <c r="A22" t="s">
        <v>64</v>
      </c>
      <c r="B22" s="18">
        <f>B20+B21</f>
        <v>2364125510528.3745</v>
      </c>
    </row>
    <row r="23" spans="1:2" x14ac:dyDescent="0.25">
      <c r="A23" s="19" t="s">
        <v>65</v>
      </c>
      <c r="B23" s="25">
        <f>B22/Assumptions!B31</f>
        <v>157.55903038417733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336.13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87.50076775327487</v>
      </c>
    </row>
    <row r="29" spans="1:2" x14ac:dyDescent="0.25">
      <c r="A29" s="19" t="s">
        <v>73</v>
      </c>
      <c r="B29" s="12">
        <f>B28/B26-1</f>
        <v>-0.7396817667174163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0.087141</v>
      </c>
      <c r="B5" s="31">
        <v>103.47084539711757</v>
      </c>
      <c r="C5" s="31">
        <v>108.70840918971314</v>
      </c>
      <c r="D5" s="31">
        <v>114.78156546430677</v>
      </c>
      <c r="E5" s="31">
        <v>121.90966437630301</v>
      </c>
      <c r="F5" s="31">
        <v>130.39619338395997</v>
      </c>
    </row>
    <row r="6" spans="1:6" x14ac:dyDescent="0.25">
      <c r="A6" s="30">
        <v>0.097141</v>
      </c>
      <c r="B6" s="31">
        <v>91.11115984425966</v>
      </c>
      <c r="C6" s="31">
        <v>94.92346131057052</v>
      </c>
      <c r="D6" s="31">
        <v>99.25821378074254</v>
      </c>
      <c r="E6" s="31">
        <v>104.23213826068739</v>
      </c>
      <c r="F6" s="31">
        <v>109.99952226020692</v>
      </c>
    </row>
    <row r="7" spans="1:6" x14ac:dyDescent="0.25">
      <c r="A7" s="30">
        <v>0.107141</v>
      </c>
      <c r="B7" s="31">
        <v>81.42563029672856</v>
      </c>
      <c r="C7" s="31">
        <v>84.29130042650057</v>
      </c>
      <c r="D7" s="32">
        <v>87.5007835468841</v>
      </c>
      <c r="E7" s="31">
        <v>91.12093379328277</v>
      </c>
      <c r="F7" s="31">
        <v>95.23713959793663</v>
      </c>
    </row>
    <row r="8" spans="1:6" x14ac:dyDescent="0.25">
      <c r="A8" s="30">
        <v>0.117141</v>
      </c>
      <c r="B8" s="31">
        <v>73.62920706927312</v>
      </c>
      <c r="C8" s="31">
        <v>75.83874159115054</v>
      </c>
      <c r="D8" s="31">
        <v>78.28374420851331</v>
      </c>
      <c r="E8" s="31">
        <v>81.00474717864878</v>
      </c>
      <c r="F8" s="31">
        <v>84.05215170548186</v>
      </c>
    </row>
    <row r="9" spans="1:6" x14ac:dyDescent="0.25">
      <c r="A9" s="30">
        <v>0.127141</v>
      </c>
      <c r="B9" s="31">
        <v>67.21684073104109</v>
      </c>
      <c r="C9" s="31">
        <v>68.95590056933331</v>
      </c>
      <c r="D9" s="31">
        <v>70.86146755220777</v>
      </c>
      <c r="E9" s="31">
        <v>72.95925283323234</v>
      </c>
      <c r="F9" s="31">
        <v>75.28054839395972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416161000000</v>
      </c>
      <c r="C5" s="18">
        <v>391035000000</v>
      </c>
      <c r="D5" s="18">
        <v>383285000000</v>
      </c>
      <c r="E5" s="18">
        <v>394328000000</v>
      </c>
      <c r="F5" s="8" t="s">
        <v>84</v>
      </c>
    </row>
    <row r="6" spans="1:6" x14ac:dyDescent="0.25">
      <c r="A6" t="s">
        <v>44</v>
      </c>
      <c r="B6" s="18">
        <v>133050000000</v>
      </c>
      <c r="C6" s="18">
        <v>123216000000</v>
      </c>
      <c r="D6" s="18">
        <v>114301000000</v>
      </c>
      <c r="E6" s="18">
        <v>119437000000</v>
      </c>
      <c r="F6" s="8" t="s">
        <v>85</v>
      </c>
    </row>
    <row r="7" spans="1:6" x14ac:dyDescent="0.25">
      <c r="A7" t="s">
        <v>86</v>
      </c>
      <c r="B7" s="18">
        <v>11698000000</v>
      </c>
      <c r="C7" s="18">
        <v>11445000000</v>
      </c>
      <c r="D7" s="18">
        <v>11519000000</v>
      </c>
      <c r="E7" s="18">
        <v>11104000000</v>
      </c>
      <c r="F7" s="8" t="s">
        <v>87</v>
      </c>
    </row>
    <row r="8" spans="1:6" x14ac:dyDescent="0.25">
      <c r="A8" t="s">
        <v>88</v>
      </c>
      <c r="B8" s="18">
        <v>12715000000</v>
      </c>
      <c r="C8" s="18">
        <v>9447000000</v>
      </c>
      <c r="D8" s="18">
        <v>10959000000</v>
      </c>
      <c r="E8" s="18">
        <v>10708000000</v>
      </c>
      <c r="F8" s="8" t="s">
        <v>89</v>
      </c>
    </row>
    <row r="9" spans="1:6" x14ac:dyDescent="0.25">
      <c r="A9" t="s">
        <v>90</v>
      </c>
      <c r="B9" s="18">
        <v>25000000000</v>
      </c>
      <c r="C9" s="18">
        <v>-3651000000</v>
      </c>
      <c r="D9" s="18">
        <v>6577000000</v>
      </c>
      <c r="E9" s="18">
        <v>-1200000000</v>
      </c>
      <c r="F9" s="8" t="s">
        <v>91</v>
      </c>
    </row>
    <row r="10" spans="1:6" x14ac:dyDescent="0.25">
      <c r="A10" t="s">
        <v>92</v>
      </c>
      <c r="B10" s="18">
        <v>98657000000</v>
      </c>
      <c r="C10" s="18">
        <v>106629000000</v>
      </c>
      <c r="D10" s="18">
        <v>111088000000</v>
      </c>
      <c r="E10" s="18">
        <v>132480000000</v>
      </c>
      <c r="F10" s="8" t="s">
        <v>93</v>
      </c>
    </row>
    <row r="11" spans="1:6" x14ac:dyDescent="0.25">
      <c r="A11" t="s">
        <v>94</v>
      </c>
      <c r="B11" s="18">
        <v>54697000000</v>
      </c>
      <c r="C11" s="18">
        <v>65171000000</v>
      </c>
      <c r="D11" s="18">
        <v>61555000000</v>
      </c>
      <c r="E11" s="18">
        <v>48304000000</v>
      </c>
      <c r="F11" s="8" t="s">
        <v>95</v>
      </c>
    </row>
    <row r="12" spans="1:6" x14ac:dyDescent="0.25">
      <c r="A12" t="s">
        <v>32</v>
      </c>
      <c r="B12" s="34">
        <v>15004697000</v>
      </c>
      <c r="C12" s="34">
        <v>15408095000</v>
      </c>
      <c r="D12" s="34">
        <v>15812547000</v>
      </c>
      <c r="E12" s="34">
        <v>16325819000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2026-09-19T00:07:02Z</dcterms:modified>
</cp:coreProperties>
</file>