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<sst xmlns="http://schemas.openxmlformats.org/spreadsheetml/2006/main" count="120" uniqueCount="107">
  <si>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AbbVie Inc. (ABBV)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</si>
  <si>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</si>
  <si>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</si>
  <si>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</si>
  <si>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</si>
  <si>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</si>
  <si>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</si>
  <si>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</si>
  <si>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</si>
  <si>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</si>
  <si>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</si>
  <si>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</si>
  <si>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</si>
  <si>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</si>
  <si>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</si>
  <si>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</si>
  <si>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</si>
  <si>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</si>
  <si>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</si>
  <si>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</si>
  <si>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</si>
  <si>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</si>
  <si>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</si>
  <si>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</si>
  <si>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6.9x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</si>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</sst>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0.10799337132112496</v>
      </c>
    </row>
    <row r="7" spans="1:2" x14ac:dyDescent="0.25">
      <c r="A7" t="s">
        <v>4</v>
      </c>
      <c r="B7" s="5">
        <v>0.2782227370886503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0.1469793420665582</v>
      </c>
    </row>
    <row r="10" spans="1:3" x14ac:dyDescent="0.25">
      <c r="A10" t="s">
        <v>7</v>
      </c>
      <c r="B10" s="5">
        <v>0.0158538935325829</v>
      </c>
      <c r="C10" s="6" t="s">
        <v>8</v>
      </c>
    </row>
    <row r="11" spans="1:2" x14ac:dyDescent="0.25">
      <c r="A11" t="s">
        <v>9</v>
      </c>
      <c r="B11" s="5">
        <v>0.21434896699554534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0.16894379763118536</v>
      </c>
      <c r="C14" s="6" t="s">
        <v>13</v>
      </c>
    </row>
    <row r="15" spans="1:3" x14ac:dyDescent="0.25">
      <c r="A15" t="s">
        <v>14</v>
      </c>
      <c r="B15" s="5">
        <v>0.013316701778168379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0.48275999999999997</v>
      </c>
      <c r="C19" s="6" t="s">
        <v>21</v>
      </c>
    </row>
    <row r="20" spans="1:2" x14ac:dyDescent="0.25">
      <c r="A20" t="s">
        <v>22</v>
      </c>
      <c r="B20" s="9">
        <f>B17+B19*B18</f>
        <v>0.069360748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521105244160</v>
      </c>
    </row>
    <row r="23" spans="1:2" x14ac:dyDescent="0.25">
      <c r="A23" t="s">
        <v>26</v>
      </c>
      <c r="B23" s="10">
        <v>67496000000</v>
      </c>
    </row>
    <row r="24" spans="1:2" x14ac:dyDescent="0.25">
      <c r="A24" t="s">
        <v>27</v>
      </c>
      <c r="B24" s="9">
        <f>B22/(B22+B23)</f>
        <v>0.8853281390930046</v>
      </c>
    </row>
    <row r="25" spans="1:2" x14ac:dyDescent="0.25">
      <c r="A25" t="s">
        <v>28</v>
      </c>
      <c r="B25" s="9">
        <f>1-B24</f>
        <v>0.11467186090699544</v>
      </c>
    </row>
    <row r="26" spans="1:2" x14ac:dyDescent="0.25">
      <c r="A26" t="s">
        <v>29</v>
      </c>
      <c r="B26" s="11">
        <f>B24*B20+B25*B21*(1-B8)</f>
        <v>0.06633878347808253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61160000000</v>
      </c>
      <c r="C29" s="6" t="s">
        <v>32</v>
      </c>
    </row>
    <row r="30" spans="1:2" x14ac:dyDescent="0.25">
      <c r="A30" t="s">
        <v>33</v>
      </c>
      <c r="B30" s="10">
        <v>62239000000</v>
      </c>
    </row>
    <row r="31" spans="1:2" x14ac:dyDescent="0.25">
      <c r="A31" t="s">
        <v>34</v>
      </c>
      <c r="B31" s="12">
        <v>1773000000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0.10799337132112496</v>
      </c>
      <c r="C5" s="5">
        <v>0.08768944200004314</v>
      </c>
      <c r="D5" s="5">
        <v>0.07985326175003775</v>
      </c>
      <c r="E5" s="5">
        <v>0.07201708150003236</v>
      </c>
      <c r="F5" s="5">
        <v>0.06418090125002696</v>
      </c>
      <c r="G5" s="5">
        <v>0.056344721000021566</v>
      </c>
      <c r="H5" s="5">
        <v>0.04850854075001618</v>
      </c>
      <c r="I5" s="5">
        <v>0.04067236050001078</v>
      </c>
      <c r="J5" s="5">
        <v>0.032836180250005384</v>
      </c>
      <c r="K5" s="5">
        <v>0.024999999999999994</v>
      </c>
    </row>
    <row r="6" spans="1:11" x14ac:dyDescent="0.25">
      <c r="A6" t="s">
        <v>50</v>
      </c>
      <c r="B6" s="18">
        <f>Assumptions!B29*(1+B5)</f>
        <v>67764874590</v>
      </c>
      <c r="C6" s="18">
        <f>B6*(1+C5)</f>
        <v>73707138630</v>
      </c>
      <c r="D6" s="18">
        <f>C6*(1+D5)</f>
        <v>79592894063.8677</v>
      </c>
      <c r="E6" s="18">
        <f>D6*(1+E5)</f>
        <v>85324942002.48871</v>
      </c>
      <c r="F6" s="18">
        <f>E6*(1+F5)</f>
        <v>90801173679.31471</v>
      </c>
      <c r="G6" s="18">
        <f>F6*(1+G5)</f>
        <v>95917340476.75021</v>
      </c>
      <c r="H6" s="18">
        <f>G6*(1+H5)</f>
        <v>100570150695.89983</v>
      </c>
      <c r="I6" s="18">
        <f>H6*(1+I5)</f>
        <v>104660576120.54387</v>
      </c>
      <c r="J6" s="18">
        <f>I6*(1+J5)</f>
        <v>108097229663.10747</v>
      </c>
      <c r="K6" s="18">
        <f>J6*(1+K5)</f>
        <v>110799660404.68515</v>
      </c>
    </row>
    <row r="7" spans="1:11" x14ac:dyDescent="0.25">
      <c r="A7" t="s">
        <v>4</v>
      </c>
      <c r="B7" s="9">
        <f>Assumptions!B7</f>
        <v>0.2782227370886503</v>
      </c>
      <c r="C7" s="9">
        <f>Assumptions!B7</f>
        <v>0.2782227370886503</v>
      </c>
      <c r="D7" s="9">
        <f>Assumptions!B7</f>
        <v>0.2782227370886503</v>
      </c>
      <c r="E7" s="9">
        <f>Assumptions!B7</f>
        <v>0.2782227370886503</v>
      </c>
      <c r="F7" s="9">
        <f>Assumptions!B7</f>
        <v>0.2782227370886503</v>
      </c>
      <c r="G7" s="9">
        <f>Assumptions!B7</f>
        <v>0.2782227370886503</v>
      </c>
      <c r="H7" s="9">
        <f>Assumptions!B7</f>
        <v>0.2782227370886503</v>
      </c>
      <c r="I7" s="9">
        <f>Assumptions!B7</f>
        <v>0.2782227370886503</v>
      </c>
      <c r="J7" s="9">
        <f>Assumptions!B7</f>
        <v>0.2782227370886503</v>
      </c>
      <c r="K7" s="9">
        <f>Assumptions!B7</f>
        <v>0.2782227370886503</v>
      </c>
    </row>
    <row r="8" spans="1:11" x14ac:dyDescent="0.25">
      <c r="A8" t="s">
        <v>51</v>
      </c>
      <c r="B8" s="18">
        <f>B6*B7</f>
        <v>18853728886.89893</v>
      </c>
      <c r="C8" s="18">
        <f>C6*C7</f>
        <v>20507001852.61119</v>
      </c>
      <c r="D8" s="18">
        <f>D6*D7</f>
        <v>22144552839.25626</v>
      </c>
      <c r="E8" s="18">
        <f>E6*E7</f>
        <v>23739338905.86275</v>
      </c>
      <c r="F8" s="18">
        <f>F6*F7</f>
        <v>25262951071.920853</v>
      </c>
      <c r="G8" s="18">
        <f>G6*G7</f>
        <v>26686385001.705433</v>
      </c>
      <c r="H8" s="18">
        <f>H6*H7</f>
        <v>27980902596.03128</v>
      </c>
      <c r="I8" s="18">
        <f>I6*I7</f>
        <v>29118951953.53275</v>
      </c>
      <c r="J8" s="18">
        <f>J6*J7</f>
        <v>30075107108.5702</v>
      </c>
      <c r="K8" s="18">
        <f>K6*K7</f>
        <v>30826984786.284454</v>
      </c>
    </row>
    <row r="9" spans="1:11" x14ac:dyDescent="0.25">
      <c r="A9" t="s">
        <v>52</v>
      </c>
      <c r="B9" s="18">
        <f>B8*(1-Assumptions!B8)</f>
        <v>14894445820.650154</v>
      </c>
      <c r="C9" s="18">
        <f>C8*(1-Assumptions!B8)</f>
        <v>16200531463.562841</v>
      </c>
      <c r="D9" s="18">
        <f>D8*(1-Assumptions!B8)</f>
        <v>17494196743.012447</v>
      </c>
      <c r="E9" s="18">
        <f>E8*(1-Assumptions!B8)</f>
        <v>18754077735.631573</v>
      </c>
      <c r="F9" s="18">
        <f>F8*(1-Assumptions!B8)</f>
        <v>19957731346.817474</v>
      </c>
      <c r="G9" s="18">
        <f>G8*(1-Assumptions!B8)</f>
        <v>21082244151.347294</v>
      </c>
      <c r="H9" s="18">
        <f>H8*(1-Assumptions!B8)</f>
        <v>22104913050.86471</v>
      </c>
      <c r="I9" s="18">
        <f>I8*(1-Assumptions!B8)</f>
        <v>23003972043.290874</v>
      </c>
      <c r="J9" s="18">
        <f>J8*(1-Assumptions!B8)</f>
        <v>23759334615.770462</v>
      </c>
      <c r="K9" s="18">
        <f>K8*(1-Assumptions!B8)</f>
        <v>24353317981.16472</v>
      </c>
    </row>
    <row r="10" spans="1:11" x14ac:dyDescent="0.25">
      <c r="A10" t="s">
        <v>53</v>
      </c>
      <c r="B10" s="18">
        <f>B6*Assumptions!B9</f>
        <v>9960036682.461027</v>
      </c>
      <c r="C10" s="18">
        <f>C6*Assumptions!B9</f>
        <v>10833426741.445995</v>
      </c>
      <c r="D10" s="18">
        <f>D6*Assumptions!B9</f>
        <v>11698511202.68054</v>
      </c>
      <c r="E10" s="18">
        <f>E6*Assumptions!B9</f>
        <v>12541003837.393026</v>
      </c>
      <c r="F10" s="18">
        <f>F6*Assumptions!B9</f>
        <v>13345896766.256958</v>
      </c>
      <c r="G10" s="18">
        <f>G6*Assumptions!B9</f>
        <v>14097867596.046797</v>
      </c>
      <c r="H10" s="18">
        <f>H6*Assumptions!B9</f>
        <v>14781734580.817966</v>
      </c>
      <c r="I10" s="18">
        <f>I6*Assumptions!B9</f>
        <v>15382942618.504469</v>
      </c>
      <c r="J10" s="18">
        <f>J6*Assumptions!B9</f>
        <v>15888059695.101173</v>
      </c>
      <c r="K10" s="18">
        <f>K6*Assumptions!B9</f>
        <v>16285261187.478703</v>
      </c>
    </row>
    <row r="11" spans="1:11" x14ac:dyDescent="0.25">
      <c r="A11" t="s">
        <v>54</v>
      </c>
      <c r="B11" s="18">
        <f>-B6*B19</f>
        <v>-1074337106.9986923</v>
      </c>
      <c r="C11" s="18">
        <f>-C6*C19</f>
        <v>-1542104002.8876212</v>
      </c>
      <c r="D11" s="18">
        <f>-D6*D19</f>
        <v>-2068634806.5132663</v>
      </c>
      <c r="E11" s="18">
        <f>-E6*E19</f>
        <v>-2650051498.8609705</v>
      </c>
      <c r="F11" s="18">
        <f>-F6*F19</f>
        <v>-3280328209.840662</v>
      </c>
      <c r="G11" s="18">
        <f>-G6*G19</f>
        <v>-3951280908.554068</v>
      </c>
      <c r="H11" s="18">
        <f>-H6*H19</f>
        <v>-4652656443.087986</v>
      </c>
      <c r="I11" s="18">
        <f>-I6*I19</f>
        <v>-5372326518.615636</v>
      </c>
      <c r="J11" s="18">
        <f>-J6*J19</f>
        <v>-6096586233.442314</v>
      </c>
      <c r="K11" s="18">
        <f>-K6*K19</f>
        <v>-6810550248.000391</v>
      </c>
    </row>
    <row r="12" spans="1:11" x14ac:dyDescent="0.25">
      <c r="A12" t="s">
        <v>55</v>
      </c>
      <c r="B12" s="18">
        <f>-(B6-Assumptions!B29)*Assumptions!B11</f>
        <v>-1415748045.501626</v>
      </c>
      <c r="C12" s="18">
        <f>-(C6-B6)*Assumptions!B11</f>
        <v>-1273718158.5887759</v>
      </c>
      <c r="D12" s="18">
        <f>-(D6-C6)*Assumptions!B11</f>
        <v>-1261605597.2379606</v>
      </c>
      <c r="E12" s="18">
        <f>-(E6-D6)*Assumptions!B11</f>
        <v>-1228658554.4123569</v>
      </c>
      <c r="F12" s="18">
        <f>-(F6-E6)*Assumptions!B11</f>
        <v>-1173824602.9559371</v>
      </c>
      <c r="G12" s="18">
        <f>-(G6-F6)*Assumptions!B11</f>
        <v>-1096645068.0072072</v>
      </c>
      <c r="H12" s="18">
        <f>-(H6-G6)*Assumptions!B11</f>
        <v>-997325064.1010363</v>
      </c>
      <c r="I12" s="18">
        <f>-(I6-H6)*Assumptions!B11</f>
        <v>-876778464.3447655</v>
      </c>
      <c r="J12" s="18">
        <f>-(J6-I6)*Assumptions!B11</f>
        <v>-736643136.7700888</v>
      </c>
      <c r="K12" s="18">
        <f>-(K6-J6)*Assumptions!B11</f>
        <v>-579263237.8341818</v>
      </c>
    </row>
    <row r="13" spans="1:11" x14ac:dyDescent="0.25">
      <c r="A13" s="19" t="s">
        <v>56</v>
      </c>
      <c r="B13" s="20">
        <f>B9+B10+B11+B12</f>
        <v>22364397350.610867</v>
      </c>
      <c r="C13" s="20">
        <f>C9+C10+C11+C12</f>
        <v>24218136043.532436</v>
      </c>
      <c r="D13" s="20">
        <f>D9+D10+D11+D12</f>
        <v>25862467541.941757</v>
      </c>
      <c r="E13" s="20">
        <f>E9+E10+E11+E12</f>
        <v>27416371519.75127</v>
      </c>
      <c r="F13" s="20">
        <f>F9+F10+F11+F12</f>
        <v>28849475300.277836</v>
      </c>
      <c r="G13" s="20">
        <f>G9+G10+G11+G12</f>
        <v>30132185770.832813</v>
      </c>
      <c r="H13" s="20">
        <f>H9+H10+H11+H12</f>
        <v>31236666124.493656</v>
      </c>
      <c r="I13" s="20">
        <f>I9+I10+I11+I12</f>
        <v>32137809678.83494</v>
      </c>
      <c r="J13" s="20">
        <f>J9+J10+J11+J12</f>
        <v>32814164940.659233</v>
      </c>
      <c r="K13" s="20">
        <f>K9+K10+K11+K12</f>
        <v>33248765682.808846</v>
      </c>
    </row>
    <row r="14" spans="1:11" x14ac:dyDescent="0.25">
      <c r="A14" t="s">
        <v>57</v>
      </c>
      <c r="B14" s="21">
        <f>1/(1+Assumptions!$B$26)^(1-0.5*Assumptions!$B$32)</f>
        <v>0.9683946856495601</v>
      </c>
      <c r="C14" s="21">
        <f>1/(1+Assumptions!$B$26)^(2-0.5*Assumptions!$B$32)</f>
        <v>0.9081491742154801</v>
      </c>
      <c r="D14" s="21">
        <f>1/(1+Assumptions!$B$26)^(3-0.5*Assumptions!$B$32)</f>
        <v>0.8516516404414791</v>
      </c>
      <c r="E14" s="21">
        <f>1/(1+Assumptions!$B$26)^(4-0.5*Assumptions!$B$32)</f>
        <v>0.7986689161428068</v>
      </c>
      <c r="F14" s="21">
        <f>1/(1+Assumptions!$B$26)^(5-0.5*Assumptions!$B$32)</f>
        <v>0.7489823389315209</v>
      </c>
      <c r="G14" s="21">
        <f>1/(1+Assumptions!$B$26)^(6-0.5*Assumptions!$B$32)</f>
        <v>0.7023868497857326</v>
      </c>
      <c r="H14" s="21">
        <f>1/(1+Assumptions!$B$26)^(7-0.5*Assumptions!$B$32)</f>
        <v>0.6586901467606328</v>
      </c>
      <c r="I14" s="21">
        <f>1/(1+Assumptions!$B$26)^(8-0.5*Assumptions!$B$32)</f>
        <v>0.6177118913486199</v>
      </c>
      <c r="J14" s="21">
        <f>1/(1+Assumptions!$B$26)^(9-0.5*Assumptions!$B$32)</f>
        <v>0.5792829642131425</v>
      </c>
      <c r="K14" s="21">
        <f>1/(1+Assumptions!$B$26)^(10-0.5*Assumptions!$B$32)</f>
        <v>0.5432447672246267</v>
      </c>
    </row>
    <row r="15" spans="1:11" x14ac:dyDescent="0.25">
      <c r="A15" s="19" t="s">
        <v>58</v>
      </c>
      <c r="B15" s="20">
        <f>B13*B14</f>
        <v>21657563542.086666</v>
      </c>
      <c r="C15" s="20">
        <f>C13*C14</f>
        <v>21993680248.972137</v>
      </c>
      <c r="D15" s="20">
        <f>D13*D14</f>
        <v>22025812907.959206</v>
      </c>
      <c r="E15" s="20">
        <f>E13*E14</f>
        <v>21896603726.248264</v>
      </c>
      <c r="F15" s="20">
        <f>F13*F14</f>
        <v>21607747487.349236</v>
      </c>
      <c r="G15" s="20">
        <f>G13*G14</f>
        <v>21164451040.733738</v>
      </c>
      <c r="H15" s="20">
        <f>H13*H14</f>
        <v>20575284193.855614</v>
      </c>
      <c r="I15" s="20">
        <f>I13*I14</f>
        <v>19851907200.515114</v>
      </c>
      <c r="J15" s="20">
        <f>J13*J14</f>
        <v>19008686735.00406</v>
      </c>
      <c r="K15" s="20">
        <f>K13*K14</f>
        <v>18062217973.863647</v>
      </c>
    </row>
    <row r="17" spans="1:2" x14ac:dyDescent="0.25">
      <c r="A17" s="22" t="s">
        <v>59</v>
      </c>
      <c r="B17" s="23">
        <f>SUM(B15:K15)</f>
        <v>207843955056.58768</v>
      </c>
    </row>
    <row r="19" spans="1:11" x14ac:dyDescent="0.25">
      <c r="A19" t="s">
        <v>7</v>
      </c>
      <c r="B19" s="9">
        <f>Assumptions!$B$10+($B$20-Assumptions!$B$10)*0/9</f>
        <v>0.0158538935325829</v>
      </c>
      <c r="C19" s="9">
        <f>Assumptions!$B$10+($B$20-Assumptions!$B$10)*1/9</f>
        <v>0.020922044072674933</v>
      </c>
      <c r="D19" s="9">
        <f>Assumptions!$B$10+($B$20-Assumptions!$B$10)*2/9</f>
        <v>0.025990194612766967</v>
      </c>
      <c r="E19" s="9">
        <f>Assumptions!$B$10+($B$20-Assumptions!$B$10)*3/9</f>
        <v>0.031058345152859</v>
      </c>
      <c r="F19" s="9">
        <f>Assumptions!$B$10+($B$20-Assumptions!$B$10)*4/9</f>
        <v>0.03612649569295104</v>
      </c>
      <c r="G19" s="9">
        <f>Assumptions!$B$10+($B$20-Assumptions!$B$10)*5/9</f>
        <v>0.04119464623304307</v>
      </c>
      <c r="H19" s="9">
        <f>Assumptions!$B$10+($B$20-Assumptions!$B$10)*6/9</f>
        <v>0.046262796773135106</v>
      </c>
      <c r="I19" s="9">
        <f>Assumptions!$B$10+($B$20-Assumptions!$B$10)*7/9</f>
        <v>0.05133094731322714</v>
      </c>
      <c r="J19" s="9">
        <f>Assumptions!$B$10+($B$20-Assumptions!$B$10)*8/9</f>
        <v>0.056399097853319174</v>
      </c>
      <c r="K19" s="9">
        <f>Assumptions!$B$10+($B$20-Assumptions!$B$10)*9/9</f>
        <v>0.06146724839341121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0.06146724839341121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33248765682.808846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36053040351.83499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0.147978205477401</v>
      </c>
    </row>
    <row r="7" spans="1:2" x14ac:dyDescent="0.25">
      <c r="A7" t="s">
        <v>66</v>
      </c>
      <c r="B7" s="18">
        <f>-MAX(B5,0)*B6</f>
        <v>-5335064213.268868</v>
      </c>
    </row>
    <row r="8" spans="1:2" x14ac:dyDescent="0.25">
      <c r="A8" t="s">
        <v>67</v>
      </c>
      <c r="B8" s="18">
        <f>IF(OR(Assumptions!$B$33=0,Assumptions!B12&lt;=0),B5,MAX(B5+B7,0))</f>
        <v>30717976138.566124</v>
      </c>
    </row>
    <row r="9" spans="1:2" x14ac:dyDescent="0.25">
      <c r="A9" t="s">
        <v>68</v>
      </c>
      <c r="B9" s="18">
        <f>B8*(1+Assumptions!B12)/(Assumptions!B26-Assumptions!B12)</f>
        <v>761655832439.3809</v>
      </c>
    </row>
    <row r="10" spans="1:2" x14ac:dyDescent="0.25">
      <c r="A10" t="s">
        <v>69</v>
      </c>
      <c r="B10" s="18">
        <f>B9/(1+Assumptions!B26)^(10-0.5*Assumptions!B32)</f>
        <v>413765545398.8107</v>
      </c>
    </row>
    <row r="11" spans="1:2" x14ac:dyDescent="0.25">
      <c r="A11" t="s">
        <v>70</v>
      </c>
      <c r="B11" s="18">
        <f>Forecast!B17+B10</f>
        <v>621609500455.3984</v>
      </c>
    </row>
    <row r="12" spans="1:2" x14ac:dyDescent="0.25">
      <c r="A12" t="s">
        <v>71</v>
      </c>
      <c r="B12" s="18">
        <f>-Assumptions!B30</f>
        <v>-62239000000</v>
      </c>
    </row>
    <row r="13" spans="1:2" x14ac:dyDescent="0.25">
      <c r="A13" t="s">
        <v>72</v>
      </c>
      <c r="B13" s="18">
        <f>B11+B12</f>
        <v>559370500455.3984</v>
      </c>
    </row>
    <row r="14" spans="1:2" x14ac:dyDescent="0.25">
      <c r="A14" s="19" t="s">
        <v>73</v>
      </c>
      <c r="B14" s="24">
        <f>B13/Assumptions!B31</f>
        <v>315.49379608313507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47112245973.76315</v>
      </c>
    </row>
    <row r="18" spans="1:2" x14ac:dyDescent="0.25">
      <c r="A18" t="s">
        <v>68</v>
      </c>
      <c r="B18" s="18">
        <f>B17*Assumptions!B13</f>
        <v>942244919475.2631</v>
      </c>
    </row>
    <row r="19" spans="1:2" x14ac:dyDescent="0.25">
      <c r="A19" t="s">
        <v>69</v>
      </c>
      <c r="B19" s="18">
        <f>B18/(1+Assumptions!B26)^(10-0.5*Assumptions!B32)</f>
        <v>511869621948.9264</v>
      </c>
    </row>
    <row r="20" spans="1:2" x14ac:dyDescent="0.25">
      <c r="A20" t="s">
        <v>70</v>
      </c>
      <c r="B20" s="18">
        <f>Forecast!B17+B19</f>
        <v>719713577005.514</v>
      </c>
    </row>
    <row r="21" spans="1:2" x14ac:dyDescent="0.25">
      <c r="A21" t="s">
        <v>71</v>
      </c>
      <c r="B21" s="18">
        <f>-Assumptions!B30</f>
        <v>-62239000000</v>
      </c>
    </row>
    <row r="22" spans="1:2" x14ac:dyDescent="0.25">
      <c r="A22" t="s">
        <v>72</v>
      </c>
      <c r="B22" s="18">
        <f>B20+B21</f>
        <v>657474577005.514</v>
      </c>
    </row>
    <row r="23" spans="1:2" x14ac:dyDescent="0.25">
      <c r="A23" s="19" t="s">
        <v>73</v>
      </c>
      <c r="B23" s="25">
        <f>B22/Assumptions!B31</f>
        <v>370.8260445603576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294.89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315.49379608313507</v>
      </c>
    </row>
    <row r="29" spans="1:2" x14ac:dyDescent="0.25">
      <c r="A29" s="19" t="s">
        <v>81</v>
      </c>
      <c r="B29" s="11">
        <f>B28/B26-1</f>
        <v>0.06986942956063302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0.046339</v>
      </c>
      <c r="B5" s="31">
        <v>487.79214321946563</v>
      </c>
      <c r="C5" s="31">
        <v>547.0104821874007</v>
      </c>
      <c r="D5" s="31">
        <v>634.7320713718299</v>
      </c>
      <c r="E5" s="31">
        <v>777.1242865758871</v>
      </c>
      <c r="F5" s="31">
        <v>1046.5091482858966</v>
      </c>
    </row>
    <row r="6" spans="1:6" x14ac:dyDescent="0.25">
      <c r="A6" s="30">
        <v>0.056339</v>
      </c>
      <c r="B6" s="31">
        <v>361.66151287871196</v>
      </c>
      <c r="C6" s="31">
        <v>388.4592937920829</v>
      </c>
      <c r="D6" s="31">
        <v>424.2908973799409</v>
      </c>
      <c r="E6" s="31">
        <v>474.3010649049498</v>
      </c>
      <c r="F6" s="31">
        <v>548.4564517425848</v>
      </c>
    </row>
    <row r="7" spans="1:6" x14ac:dyDescent="0.25">
      <c r="A7" s="30">
        <v>0.066339</v>
      </c>
      <c r="B7" s="31">
        <v>284.64011841557954</v>
      </c>
      <c r="C7" s="31">
        <v>298.24747444976816</v>
      </c>
      <c r="D7" s="32">
        <v>315.49200849773047</v>
      </c>
      <c r="E7" s="31">
        <v>337.87507365687185</v>
      </c>
      <c r="F7" s="31">
        <v>367.8561602321696</v>
      </c>
    </row>
    <row r="8" spans="1:6" x14ac:dyDescent="0.25">
      <c r="A8" s="30">
        <v>0.076339</v>
      </c>
      <c r="B8" s="31">
        <v>232.715133199303</v>
      </c>
      <c r="C8" s="31">
        <v>239.99516274832447</v>
      </c>
      <c r="D8" s="31">
        <v>248.9560618675031</v>
      </c>
      <c r="E8" s="31">
        <v>260.1419304198562</v>
      </c>
      <c r="F8" s="31">
        <v>274.3601063065816</v>
      </c>
    </row>
    <row r="9" spans="1:6" x14ac:dyDescent="0.25">
      <c r="A9" s="30">
        <v>0.086339</v>
      </c>
      <c r="B9" s="31">
        <v>195.3370600463886</v>
      </c>
      <c r="C9" s="31">
        <v>199.25713692716334</v>
      </c>
      <c r="D9" s="31">
        <v>204.02430057696813</v>
      </c>
      <c r="E9" s="31">
        <v>209.86408395761373</v>
      </c>
      <c r="F9" s="31">
        <v>217.08988031716896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61160000000</v>
      </c>
      <c r="C5" s="18">
        <v>56334000000</v>
      </c>
      <c r="D5" s="18">
        <v>54318000000</v>
      </c>
      <c r="E5" s="18">
        <v>58054000000</v>
      </c>
      <c r="F5" s="6" t="s">
        <v>91</v>
      </c>
    </row>
    <row r="6" spans="1:6" x14ac:dyDescent="0.25">
      <c r="A6" t="s">
        <v>51</v>
      </c>
      <c r="B6" s="18">
        <v>20091000000</v>
      </c>
      <c r="C6" s="18">
        <v>11894000000</v>
      </c>
      <c r="D6" s="18">
        <v>13535000000</v>
      </c>
      <c r="E6" s="18">
        <v>18814000000</v>
      </c>
      <c r="F6" s="6" t="s">
        <v>92</v>
      </c>
    </row>
    <row r="7" spans="1:6" x14ac:dyDescent="0.25">
      <c r="A7" t="s">
        <v>93</v>
      </c>
      <c r="B7" s="18">
        <v>8139000000</v>
      </c>
      <c r="C7" s="18">
        <v>8386000000</v>
      </c>
      <c r="D7" s="18">
        <v>8698000000</v>
      </c>
      <c r="E7" s="18">
        <v>8467000000</v>
      </c>
      <c r="F7" s="6" t="s">
        <v>94</v>
      </c>
    </row>
    <row r="8" spans="1:6" x14ac:dyDescent="0.25">
      <c r="A8" t="s">
        <v>95</v>
      </c>
      <c r="B8" s="18">
        <v>1214000000</v>
      </c>
      <c r="C8" s="18">
        <v>974000000</v>
      </c>
      <c r="D8" s="18">
        <v>777000000</v>
      </c>
      <c r="E8" s="18">
        <v>695000000</v>
      </c>
      <c r="F8" s="6" t="s">
        <v>96</v>
      </c>
    </row>
    <row r="9" spans="1:6" x14ac:dyDescent="0.25">
      <c r="A9" t="s">
        <v>97</v>
      </c>
      <c r="B9" s="18">
        <v>2362000000</v>
      </c>
      <c r="C9" s="18">
        <v>2782000000</v>
      </c>
      <c r="D9" s="18">
        <v>-2813000000</v>
      </c>
      <c r="E9" s="18">
        <v>94000000</v>
      </c>
      <c r="F9" s="6" t="s">
        <v>98</v>
      </c>
    </row>
    <row r="10" spans="1:6" x14ac:dyDescent="0.25">
      <c r="A10" t="s">
        <v>99</v>
      </c>
      <c r="B10" s="18">
        <v>67496000000</v>
      </c>
      <c r="C10" s="18">
        <v>67144000000</v>
      </c>
      <c r="D10" s="18">
        <v>59385000000</v>
      </c>
      <c r="E10" s="18">
        <v>63271000000</v>
      </c>
      <c r="F10" s="6" t="s">
        <v>100</v>
      </c>
    </row>
    <row r="11" spans="1:6" x14ac:dyDescent="0.25">
      <c r="A11" t="s">
        <v>101</v>
      </c>
      <c r="B11" s="18">
        <v>5257000000</v>
      </c>
      <c r="C11" s="18">
        <v>5555000000</v>
      </c>
      <c r="D11" s="18">
        <v>12816000000</v>
      </c>
      <c r="E11" s="18">
        <v>9229000000</v>
      </c>
      <c r="F11" s="6" t="s">
        <v>102</v>
      </c>
    </row>
    <row r="12" spans="1:6" x14ac:dyDescent="0.25">
      <c r="A12" t="s">
        <v>34</v>
      </c>
      <c r="B12" s="34">
        <v>1773000000</v>
      </c>
      <c r="C12" s="34">
        <v>1773000000</v>
      </c>
      <c r="D12" s="34">
        <v>1773000000</v>
      </c>
      <c r="E12" s="34">
        <v>1778000000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