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<sst xmlns="http://schemas.openxmlformats.org/spreadsheetml/2006/main" count="111" uniqueCount="99">
  <si>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AbbVie Inc. (ABBV)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</si>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</sst>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0.017525049181538188</v>
      </c>
    </row>
    <row r="7" spans="1:2" x14ac:dyDescent="0.25">
      <c r="A7" t="s">
        <v>5</v>
      </c>
      <c r="B7" s="6">
        <v>0.2782227370886503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0.1469793420665582</v>
      </c>
    </row>
    <row r="10" spans="1:2" x14ac:dyDescent="0.25">
      <c r="A10" t="s">
        <v>8</v>
      </c>
      <c r="B10" s="6">
        <v>0.0158538935325829</v>
      </c>
    </row>
    <row r="11" spans="1:2" x14ac:dyDescent="0.25">
      <c r="A11" t="s">
        <v>9</v>
      </c>
      <c r="B11" s="6">
        <v>0.7529443254817987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18.72785284080765</v>
      </c>
    </row>
    <row r="14" spans="1:3" x14ac:dyDescent="0.25">
      <c r="A14" t="s">
        <v>12</v>
      </c>
      <c r="B14" s="6">
        <v>0.16894379763118536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0.51827</v>
      </c>
      <c r="C19" s="8" t="s">
        <v>19</v>
      </c>
    </row>
    <row r="20" spans="1:2" x14ac:dyDescent="0.25">
      <c r="A20" t="s">
        <v>20</v>
      </c>
      <c r="B20" s="10">
        <f>B17+B19*B18</f>
        <v>0.07848485000000001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466448285696</v>
      </c>
    </row>
    <row r="23" spans="1:2" x14ac:dyDescent="0.25">
      <c r="A23" t="s">
        <v>24</v>
      </c>
      <c r="B23" s="11">
        <v>67496000000</v>
      </c>
    </row>
    <row r="24" spans="1:2" x14ac:dyDescent="0.25">
      <c r="A24" t="s">
        <v>25</v>
      </c>
      <c r="B24" s="10">
        <f>B22/(B22+B23)</f>
        <v>0.873589807385955</v>
      </c>
    </row>
    <row r="25" spans="1:2" x14ac:dyDescent="0.25">
      <c r="A25" t="s">
        <v>26</v>
      </c>
      <c r="B25" s="10">
        <f>1-B24</f>
        <v>0.12641019261404496</v>
      </c>
    </row>
    <row r="26" spans="1:2" x14ac:dyDescent="0.25">
      <c r="A26" t="s">
        <v>27</v>
      </c>
      <c r="B26" s="12">
        <f>B24*B20+B25*B21*(1-B8)</f>
        <v>0.07355477032142706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61160000000</v>
      </c>
      <c r="C29" s="8" t="s">
        <v>30</v>
      </c>
    </row>
    <row r="30" spans="1:2" x14ac:dyDescent="0.25">
      <c r="A30" t="s">
        <v>31</v>
      </c>
      <c r="B30" s="11">
        <v>62239000000</v>
      </c>
    </row>
    <row r="31" spans="1:2" x14ac:dyDescent="0.25">
      <c r="A31" t="s">
        <v>32</v>
      </c>
      <c r="B31" s="13">
        <v>1773000000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0.017525049181538188</v>
      </c>
      <c r="C5" s="10">
        <f>Assumptions!B6</f>
        <v>0.017525049181538188</v>
      </c>
      <c r="D5" s="10">
        <f>Assumptions!B6</f>
        <v>0.017525049181538188</v>
      </c>
      <c r="E5" s="10">
        <f>Assumptions!B6</f>
        <v>0.017525049181538188</v>
      </c>
      <c r="F5" s="10">
        <f>Assumptions!B6</f>
        <v>0.017525049181538188</v>
      </c>
    </row>
    <row r="6" spans="1:6" x14ac:dyDescent="0.25">
      <c r="A6" t="s">
        <v>43</v>
      </c>
      <c r="B6" s="18">
        <f>Assumptions!B29*(1+B5)</f>
        <v>62231832007.94288</v>
      </c>
      <c r="C6" s="18">
        <f>B6*(1+C5)</f>
        <v>63322447924.5393</v>
      </c>
      <c r="D6" s="18">
        <f>C6*(1+D5)</f>
        <v>64432176938.71224</v>
      </c>
      <c r="E6" s="18">
        <f>D6*(1+E5)</f>
        <v>65561354008.436745</v>
      </c>
      <c r="F6" s="18">
        <f>E6*(1+F5)</f>
        <v>66710319961.842834</v>
      </c>
    </row>
    <row r="7" spans="1:6" x14ac:dyDescent="0.25">
      <c r="A7" t="s">
        <v>5</v>
      </c>
      <c r="B7" s="10">
        <f>Assumptions!B7</f>
        <v>0.2782227370886503</v>
      </c>
      <c r="C7" s="10">
        <f>Assumptions!B7</f>
        <v>0.2782227370886503</v>
      </c>
      <c r="D7" s="10">
        <f>Assumptions!B7</f>
        <v>0.2782227370886503</v>
      </c>
      <c r="E7" s="10">
        <f>Assumptions!B7</f>
        <v>0.2782227370886503</v>
      </c>
      <c r="F7" s="10">
        <f>Assumptions!B7</f>
        <v>0.2782227370886503</v>
      </c>
    </row>
    <row r="8" spans="1:6" x14ac:dyDescent="0.25">
      <c r="A8" t="s">
        <v>44</v>
      </c>
      <c r="B8" s="18">
        <f>B6*B7</f>
        <v>17314310635.290943</v>
      </c>
      <c r="C8" s="18">
        <f>C6*C7</f>
        <v>17617744780.71885</v>
      </c>
      <c r="D8" s="18">
        <f>D6*D7</f>
        <v>17926496624.468735</v>
      </c>
      <c r="E8" s="18">
        <f>E6*E7</f>
        <v>18240659359.465225</v>
      </c>
      <c r="F8" s="18">
        <f>F6*F7</f>
        <v>18560327811.84354</v>
      </c>
    </row>
    <row r="9" spans="1:6" x14ac:dyDescent="0.25">
      <c r="A9" t="s">
        <v>45</v>
      </c>
      <c r="B9" s="18">
        <f>B8*(1-Assumptions!B8)</f>
        <v>13678305401.879847</v>
      </c>
      <c r="C9" s="18">
        <f>C8*(1-Assumptions!B8)</f>
        <v>13918018376.76789</v>
      </c>
      <c r="D9" s="18">
        <f>D8*(1-Assumptions!B8)</f>
        <v>14161932333.330301</v>
      </c>
      <c r="E9" s="18">
        <f>E8*(1-Assumptions!B8)</f>
        <v>14410120893.977528</v>
      </c>
      <c r="F9" s="18">
        <f>F8*(1-Assumptions!B8)</f>
        <v>14662658971.356398</v>
      </c>
    </row>
    <row r="10" spans="1:6" x14ac:dyDescent="0.25">
      <c r="A10" t="s">
        <v>46</v>
      </c>
      <c r="B10" s="18">
        <f>B6*Assumptions!B9</f>
        <v>9146793724.124022</v>
      </c>
      <c r="C10" s="18">
        <f>C6*Assumptions!B9</f>
        <v>9307091733.99268</v>
      </c>
      <c r="D10" s="18">
        <f>D6*Assumptions!B9</f>
        <v>9470198974.367989</v>
      </c>
      <c r="E10" s="18">
        <f>E6*Assumptions!B9</f>
        <v>9636164677.15274</v>
      </c>
      <c r="F10" s="18">
        <f>F6*Assumptions!B9</f>
        <v>9805038937.041243</v>
      </c>
    </row>
    <row r="11" spans="1:6" x14ac:dyDescent="0.25">
      <c r="A11" t="s">
        <v>47</v>
      </c>
      <c r="B11" s="18">
        <f>-B6*Assumptions!B10</f>
        <v>-986616838.991511</v>
      </c>
      <c r="C11" s="18">
        <f>-C6*Assumptions!B10</f>
        <v>-1003907347.618171</v>
      </c>
      <c r="D11" s="18">
        <f>-D6*Assumptions!B10</f>
        <v>-1021500873.258887</v>
      </c>
      <c r="E11" s="18">
        <f>-E6*Assumptions!B10</f>
        <v>-1039402726.3017333</v>
      </c>
      <c r="F11" s="18">
        <f>-F6*Assumptions!B10</f>
        <v>-1057618310.1995959</v>
      </c>
    </row>
    <row r="12" spans="1:6" x14ac:dyDescent="0.25">
      <c r="A12" t="s">
        <v>48</v>
      </c>
      <c r="B12" s="18">
        <f>-(B6-Assumptions!B29)*Assumptions!B11</f>
        <v>-807029828.2503527</v>
      </c>
      <c r="C12" s="18">
        <f>-(C6-B6)*Assumptions!B11</f>
        <v>-821173065.6814053</v>
      </c>
      <c r="D12" s="18">
        <f>-(D6-C6)*Assumptions!B11</f>
        <v>-835564164.044028</v>
      </c>
      <c r="E12" s="18">
        <f>-(E6-D6)*Assumptions!B11</f>
        <v>-850207467.1132295</v>
      </c>
      <c r="F12" s="18">
        <f>-(F6-E6)*Assumptions!B11</f>
        <v>-865107394.7889</v>
      </c>
    </row>
    <row r="13" spans="1:6" x14ac:dyDescent="0.25">
      <c r="A13" s="19" t="s">
        <v>49</v>
      </c>
      <c r="B13" s="20">
        <f>B9+B10+B11+B12</f>
        <v>21031452458.762005</v>
      </c>
      <c r="C13" s="20">
        <f>C9+C10+C11+C12</f>
        <v>21400029697.460995</v>
      </c>
      <c r="D13" s="20">
        <f>D9+D10+D11+D12</f>
        <v>21775066270.39537</v>
      </c>
      <c r="E13" s="20">
        <f>E9+E10+E11+E12</f>
        <v>22156675377.715305</v>
      </c>
      <c r="F13" s="20">
        <f>F9+F10+F11+F12</f>
        <v>22544972203.409145</v>
      </c>
    </row>
    <row r="14" spans="1:6" x14ac:dyDescent="0.25">
      <c r="A14" t="s">
        <v>50</v>
      </c>
      <c r="B14" s="21">
        <f>1/(1+Assumptions!$B$26)^(1-0.5*Assumptions!$B$32)</f>
        <v>0.9651346258880674</v>
      </c>
      <c r="C14" s="21">
        <f>1/(1+Assumptions!$B$26)^(2-0.5*Assumptions!$B$32)</f>
        <v>0.8990082784496425</v>
      </c>
      <c r="D14" s="21">
        <f>1/(1+Assumptions!$B$26)^(3-0.5*Assumptions!$B$32)</f>
        <v>0.8374125878835932</v>
      </c>
      <c r="E14" s="21">
        <f>1/(1+Assumptions!$B$26)^(4-0.5*Assumptions!$B$32)</f>
        <v>0.7800371355369863</v>
      </c>
      <c r="F14" s="21">
        <f>1/(1+Assumptions!$B$26)^(5-0.5*Assumptions!$B$32)</f>
        <v>0.726592771138672</v>
      </c>
    </row>
    <row r="15" spans="1:6" x14ac:dyDescent="0.25">
      <c r="A15" s="19" t="s">
        <v>51</v>
      </c>
      <c r="B15" s="20">
        <f>B13*B14</f>
        <v>20298183000.669945</v>
      </c>
      <c r="C15" s="20">
        <f>C13*C14</f>
        <v>19238803857.085632</v>
      </c>
      <c r="D15" s="20">
        <f>D13*D14</f>
        <v>18234714596.82853</v>
      </c>
      <c r="E15" s="20">
        <f>E13*E14</f>
        <v>17283029594.655922</v>
      </c>
      <c r="F15" s="20">
        <f>F13*F14</f>
        <v>16381013828.519384</v>
      </c>
    </row>
    <row r="17" spans="1:2" x14ac:dyDescent="0.25">
      <c r="A17" s="22" t="s">
        <v>52</v>
      </c>
      <c r="B17" s="23">
        <f>SUM(B15:F15)</f>
        <v>91435744877.7594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22544972203.409145</v>
      </c>
    </row>
    <row r="5" spans="1:2" x14ac:dyDescent="0.25">
      <c r="A5" t="s">
        <v>56</v>
      </c>
      <c r="B5" s="18">
        <f>IF(Assumptions!$B$33=0,B4,B4-Forecast!F11-Forecast!F10-Forecast!F12)</f>
        <v>21706834196.817116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0.147978205477401</v>
      </c>
    </row>
    <row r="7" spans="1:2" x14ac:dyDescent="0.25">
      <c r="A7" t="s">
        <v>58</v>
      </c>
      <c r="B7" s="18">
        <f>-MAX(Forecast!F9,0)*B6</f>
        <v>-3212138371.040478</v>
      </c>
    </row>
    <row r="8" spans="1:2" x14ac:dyDescent="0.25">
      <c r="A8" t="s">
        <v>59</v>
      </c>
      <c r="B8" s="18">
        <f>IF(OR(Assumptions!$B$33=0,Assumptions!B12&lt;=0),B5,MAX(B5+B7,0))</f>
        <v>18494695825.776638</v>
      </c>
    </row>
    <row r="9" spans="1:2" x14ac:dyDescent="0.25">
      <c r="A9" t="s">
        <v>60</v>
      </c>
      <c r="B9" s="18">
        <f>B8*(1+Assumptions!B12)/(Assumptions!B26-Assumptions!B12)</f>
        <v>390426380269.6923</v>
      </c>
    </row>
    <row r="10" spans="1:2" x14ac:dyDescent="0.25">
      <c r="A10" t="s">
        <v>61</v>
      </c>
      <c r="B10" s="18">
        <f>B9/(1+Assumptions!B26)^(5-0.5*Assumptions!B32)</f>
        <v>283680985565.7967</v>
      </c>
    </row>
    <row r="11" spans="1:2" x14ac:dyDescent="0.25">
      <c r="A11" t="s">
        <v>62</v>
      </c>
      <c r="B11" s="18">
        <f>Forecast!B17+B10</f>
        <v>375116730443.5561</v>
      </c>
    </row>
    <row r="12" spans="1:2" x14ac:dyDescent="0.25">
      <c r="A12" t="s">
        <v>63</v>
      </c>
      <c r="B12" s="18">
        <f>-Assumptions!B30</f>
        <v>-62239000000</v>
      </c>
    </row>
    <row r="13" spans="1:2" x14ac:dyDescent="0.25">
      <c r="A13" t="s">
        <v>64</v>
      </c>
      <c r="B13" s="18">
        <f>B11+B12</f>
        <v>312877730443.5561</v>
      </c>
    </row>
    <row r="14" spans="1:2" x14ac:dyDescent="0.25">
      <c r="A14" s="19" t="s">
        <v>65</v>
      </c>
      <c r="B14" s="24">
        <f>B13/Assumptions!B31</f>
        <v>176.46798107363568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28365366748.88478</v>
      </c>
    </row>
    <row r="18" spans="1:2" x14ac:dyDescent="0.25">
      <c r="A18" t="s">
        <v>60</v>
      </c>
      <c r="B18" s="18">
        <f>B17*Assumptions!B13</f>
        <v>531222414248.6527</v>
      </c>
    </row>
    <row r="19" spans="1:2" x14ac:dyDescent="0.25">
      <c r="A19" t="s">
        <v>61</v>
      </c>
      <c r="B19" s="18">
        <f>B18/(1+Assumptions!B26)^(5-0.5*Assumptions!B32)</f>
        <v>385982366059.9042</v>
      </c>
    </row>
    <row r="20" spans="1:2" x14ac:dyDescent="0.25">
      <c r="A20" t="s">
        <v>62</v>
      </c>
      <c r="B20" s="18">
        <f>Forecast!B17+B19</f>
        <v>477418110937.6636</v>
      </c>
    </row>
    <row r="21" spans="1:2" x14ac:dyDescent="0.25">
      <c r="A21" t="s">
        <v>63</v>
      </c>
      <c r="B21" s="18">
        <f>-Assumptions!B30</f>
        <v>-62239000000</v>
      </c>
    </row>
    <row r="22" spans="1:2" x14ac:dyDescent="0.25">
      <c r="A22" t="s">
        <v>64</v>
      </c>
      <c r="B22" s="18">
        <f>B20+B21</f>
        <v>415179110937.6636</v>
      </c>
    </row>
    <row r="23" spans="1:2" x14ac:dyDescent="0.25">
      <c r="A23" s="19" t="s">
        <v>65</v>
      </c>
      <c r="B23" s="25">
        <f>B22/Assumptions!B31</f>
        <v>234.16757526094958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263.96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176.46798107363568</v>
      </c>
    </row>
    <row r="29" spans="1:2" x14ac:dyDescent="0.25">
      <c r="A29" s="19" t="s">
        <v>73</v>
      </c>
      <c r="B29" s="12">
        <f>B28/B26-1</f>
        <v>-0.33145938371861006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0.053555</v>
      </c>
      <c r="B5" s="31">
        <v>251.09936081566983</v>
      </c>
      <c r="C5" s="31">
        <v>278.30996823268765</v>
      </c>
      <c r="D5" s="31">
        <v>314.94942711793226</v>
      </c>
      <c r="E5" s="31">
        <v>367.0221005375638</v>
      </c>
      <c r="F5" s="31">
        <v>447.00431390337434</v>
      </c>
    </row>
    <row r="6" spans="1:6" x14ac:dyDescent="0.25">
      <c r="A6" s="30">
        <v>0.063555</v>
      </c>
      <c r="B6" s="31">
        <v>194.37387998599752</v>
      </c>
      <c r="C6" s="31">
        <v>209.2023351934485</v>
      </c>
      <c r="D6" s="31">
        <v>227.80562070938603</v>
      </c>
      <c r="E6" s="31">
        <v>251.87118861628082</v>
      </c>
      <c r="F6" s="31">
        <v>284.26838704456026</v>
      </c>
    </row>
    <row r="7" spans="1:6" x14ac:dyDescent="0.25">
      <c r="A7" s="30">
        <v>0.073555</v>
      </c>
      <c r="B7" s="31">
        <v>156.9751906222503</v>
      </c>
      <c r="C7" s="31">
        <v>165.8357980298621</v>
      </c>
      <c r="D7" s="32">
        <v>176.4670437869615</v>
      </c>
      <c r="E7" s="31">
        <v>189.47872183781035</v>
      </c>
      <c r="F7" s="31">
        <v>205.79695030992082</v>
      </c>
    </row>
    <row r="8" spans="1:6" x14ac:dyDescent="0.25">
      <c r="A8" s="30">
        <v>0.083555</v>
      </c>
      <c r="B8" s="31">
        <v>130.44806785180918</v>
      </c>
      <c r="C8" s="31">
        <v>136.06285851864885</v>
      </c>
      <c r="D8" s="31">
        <v>142.59341662588326</v>
      </c>
      <c r="E8" s="31">
        <v>150.2962357148425</v>
      </c>
      <c r="F8" s="31">
        <v>159.53346004926593</v>
      </c>
    </row>
    <row r="9" spans="1:6" x14ac:dyDescent="0.25">
      <c r="A9" s="30">
        <v>0.093555</v>
      </c>
      <c r="B9" s="31">
        <v>110.6425329055446</v>
      </c>
      <c r="C9" s="31">
        <v>114.34177916496033</v>
      </c>
      <c r="D9" s="31">
        <v>118.5452859209077</v>
      </c>
      <c r="E9" s="31">
        <v>123.37206674349099</v>
      </c>
      <c r="F9" s="31">
        <v>128.98178538473022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61160000000</v>
      </c>
      <c r="C5" s="18">
        <v>56334000000</v>
      </c>
      <c r="D5" s="18">
        <v>54318000000</v>
      </c>
      <c r="E5" s="18">
        <v>58054000000</v>
      </c>
      <c r="F5" s="8" t="s">
        <v>84</v>
      </c>
    </row>
    <row r="6" spans="1:6" x14ac:dyDescent="0.25">
      <c r="A6" t="s">
        <v>44</v>
      </c>
      <c r="B6" s="18">
        <v>20091000000</v>
      </c>
      <c r="C6" s="18">
        <v>11894000000</v>
      </c>
      <c r="D6" s="18">
        <v>13535000000</v>
      </c>
      <c r="E6" s="18">
        <v>18814000000</v>
      </c>
      <c r="F6" s="8" t="s">
        <v>85</v>
      </c>
    </row>
    <row r="7" spans="1:6" x14ac:dyDescent="0.25">
      <c r="A7" t="s">
        <v>86</v>
      </c>
      <c r="B7" s="18">
        <v>8139000000</v>
      </c>
      <c r="C7" s="18">
        <v>8386000000</v>
      </c>
      <c r="D7" s="18">
        <v>8698000000</v>
      </c>
      <c r="E7" s="18">
        <v>8467000000</v>
      </c>
      <c r="F7" s="8" t="s">
        <v>87</v>
      </c>
    </row>
    <row r="8" spans="1:6" x14ac:dyDescent="0.25">
      <c r="A8" t="s">
        <v>88</v>
      </c>
      <c r="B8" s="18">
        <v>1214000000</v>
      </c>
      <c r="C8" s="18">
        <v>974000000</v>
      </c>
      <c r="D8" s="18">
        <v>777000000</v>
      </c>
      <c r="E8" s="18">
        <v>695000000</v>
      </c>
      <c r="F8" s="8" t="s">
        <v>89</v>
      </c>
    </row>
    <row r="9" spans="1:6" x14ac:dyDescent="0.25">
      <c r="A9" t="s">
        <v>90</v>
      </c>
      <c r="B9" s="18">
        <v>2362000000</v>
      </c>
      <c r="C9" s="18">
        <v>2782000000</v>
      </c>
      <c r="D9" s="18">
        <v>-2813000000</v>
      </c>
      <c r="E9" s="18">
        <v>94000000</v>
      </c>
      <c r="F9" s="8" t="s">
        <v>91</v>
      </c>
    </row>
    <row r="10" spans="1:6" x14ac:dyDescent="0.25">
      <c r="A10" t="s">
        <v>92</v>
      </c>
      <c r="B10" s="18">
        <v>67496000000</v>
      </c>
      <c r="C10" s="18">
        <v>67144000000</v>
      </c>
      <c r="D10" s="18">
        <v>59385000000</v>
      </c>
      <c r="E10" s="18">
        <v>63271000000</v>
      </c>
      <c r="F10" s="8" t="s">
        <v>93</v>
      </c>
    </row>
    <row r="11" spans="1:6" x14ac:dyDescent="0.25">
      <c r="A11" t="s">
        <v>94</v>
      </c>
      <c r="B11" s="18">
        <v>5257000000</v>
      </c>
      <c r="C11" s="18">
        <v>5555000000</v>
      </c>
      <c r="D11" s="18">
        <v>12816000000</v>
      </c>
      <c r="E11" s="18">
        <v>9229000000</v>
      </c>
      <c r="F11" s="8" t="s">
        <v>95</v>
      </c>
    </row>
    <row r="12" spans="1:6" x14ac:dyDescent="0.25">
      <c r="A12" t="s">
        <v>32</v>
      </c>
      <c r="B12" s="34">
        <v>1773000000</v>
      </c>
      <c r="C12" s="34">
        <v>1773000000</v>
      </c>
      <c r="D12" s="34">
        <v>1773000000</v>
      </c>
      <c r="E12" s="34">
        <v>1778000000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