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<sst xmlns="http://schemas.openxmlformats.org/spreadsheetml/2006/main" count="113" uniqueCount="101">
  <si>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Aberdeen Group Plc (ABDN.L)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</si>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</sst>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0.07824817564018005</v>
      </c>
    </row>
    <row r="7" spans="1:2" x14ac:dyDescent="0.25">
      <c r="A7" t="s">
        <v>5</v>
      </c>
      <c r="B7" s="6">
        <v>-0.006586027114259083</v>
      </c>
    </row>
    <row r="8" spans="1:2" x14ac:dyDescent="0.25">
      <c r="A8" t="s">
        <v>6</v>
      </c>
      <c r="B8" s="6">
        <v>0.055749851273638476</v>
      </c>
    </row>
    <row r="9" spans="1:2" x14ac:dyDescent="0.25">
      <c r="A9" t="s">
        <v>7</v>
      </c>
      <c r="B9" s="6">
        <v>0.10141747649155412</v>
      </c>
    </row>
    <row r="10" spans="1:2" x14ac:dyDescent="0.25">
      <c r="A10" t="s">
        <v>8</v>
      </c>
      <c r="B10" s="6">
        <v>0.023439881461208366</v>
      </c>
    </row>
    <row r="11" spans="1:2" x14ac:dyDescent="0.25">
      <c r="A11" t="s">
        <v>9</v>
      </c>
      <c r="B11" s="6">
        <v>0.8425925925925926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5.328272977312391</v>
      </c>
    </row>
    <row r="14" spans="1:3" x14ac:dyDescent="0.25">
      <c r="A14" t="s">
        <v>12</v>
      </c>
      <c r="B14" s="6">
        <v>0.10647193219357523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1.2686700000000002</v>
      </c>
      <c r="C19" s="8" t="s">
        <v>19</v>
      </c>
    </row>
    <row r="20" spans="1:2" x14ac:dyDescent="0.25">
      <c r="A20" t="s">
        <v>20</v>
      </c>
      <c r="B20" s="10">
        <f>B17+B19*B18</f>
        <v>0.11477685000000001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4291100416</v>
      </c>
    </row>
    <row r="23" spans="1:2" x14ac:dyDescent="0.25">
      <c r="A23" t="s">
        <v>24</v>
      </c>
      <c r="B23" s="11">
        <v>557000000</v>
      </c>
    </row>
    <row r="24" spans="1:2" x14ac:dyDescent="0.25">
      <c r="A24" t="s">
        <v>25</v>
      </c>
      <c r="B24" s="10">
        <f>B22/(B22+B23)</f>
        <v>0.8851096404353024</v>
      </c>
    </row>
    <row r="25" spans="1:2" x14ac:dyDescent="0.25">
      <c r="A25" t="s">
        <v>26</v>
      </c>
      <c r="B25" s="10">
        <f>1-B24</f>
        <v>0.11489035956469762</v>
      </c>
    </row>
    <row r="26" spans="1:2" x14ac:dyDescent="0.25">
      <c r="A26" t="s">
        <v>27</v>
      </c>
      <c r="B26" s="12">
        <f>B24*B20+B25*B21*(1-B8)</f>
        <v>0.10647193219357523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1745000000</v>
      </c>
      <c r="C29" s="8" t="s">
        <v>30</v>
      </c>
    </row>
    <row r="30" spans="1:2" x14ac:dyDescent="0.25">
      <c r="A30" t="s">
        <v>31</v>
      </c>
      <c r="B30" s="11">
        <v>-1238000000</v>
      </c>
    </row>
    <row r="31" spans="1:2" x14ac:dyDescent="0.25">
      <c r="A31" t="s">
        <v>32</v>
      </c>
      <c r="B31" s="13">
        <v>1829000000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0.07824817564018005</v>
      </c>
      <c r="C5" s="10">
        <f>Assumptions!B6</f>
        <v>0.07824817564018005</v>
      </c>
      <c r="D5" s="10">
        <f>Assumptions!B6</f>
        <v>0.07824817564018005</v>
      </c>
      <c r="E5" s="10">
        <f>Assumptions!B6</f>
        <v>0.07824817564018005</v>
      </c>
      <c r="F5" s="10">
        <f>Assumptions!B6</f>
        <v>0.07824817564018005</v>
      </c>
    </row>
    <row r="6" spans="1:6" x14ac:dyDescent="0.25">
      <c r="A6" t="s">
        <v>43</v>
      </c>
      <c r="B6" s="18">
        <f>Assumptions!B29*(1+B5)</f>
        <v>1881543066.4921143</v>
      </c>
      <c r="C6" s="18">
        <f>B6*(1+C5)</f>
        <v>2028770378.8335521</v>
      </c>
      <c r="D6" s="18">
        <f>C6*(1+D5)</f>
        <v>2187517959.7701144</v>
      </c>
      <c r="E6" s="18">
        <f>D6*(1+E5)</f>
        <v>2358687249.3022547</v>
      </c>
      <c r="F6" s="18">
        <f>E6*(1+F5)</f>
        <v>2543250223.4659104</v>
      </c>
    </row>
    <row r="7" spans="1:6" x14ac:dyDescent="0.25">
      <c r="A7" t="s">
        <v>5</v>
      </c>
      <c r="B7" s="10">
        <f>Assumptions!B7</f>
        <v>-0.006586027114259083</v>
      </c>
      <c r="C7" s="10">
        <f>Assumptions!B7</f>
        <v>-0.006586027114259083</v>
      </c>
      <c r="D7" s="10">
        <f>Assumptions!B7</f>
        <v>-0.006586027114259083</v>
      </c>
      <c r="E7" s="10">
        <f>Assumptions!B7</f>
        <v>-0.006586027114259083</v>
      </c>
      <c r="F7" s="10">
        <f>Assumptions!B7</f>
        <v>-0.006586027114259083</v>
      </c>
    </row>
    <row r="8" spans="1:6" x14ac:dyDescent="0.25">
      <c r="A8" t="s">
        <v>44</v>
      </c>
      <c r="B8" s="18">
        <f>B6*B7</f>
        <v>-12391893.652563244</v>
      </c>
      <c r="C8" s="18">
        <f>C6*C7</f>
        <v>-13361536.723603444</v>
      </c>
      <c r="D8" s="18">
        <f>D6*D7</f>
        <v>-14407052.595974682</v>
      </c>
      <c r="E8" s="18">
        <f>E6*E7</f>
        <v>-15534378.177961823</v>
      </c>
      <c r="F8" s="18">
        <f>F6*F7</f>
        <v>-16749914.930091957</v>
      </c>
    </row>
    <row r="9" spans="1:6" x14ac:dyDescent="0.25">
      <c r="A9" t="s">
        <v>45</v>
      </c>
      <c r="B9" s="18">
        <f>B8*(1-Assumptions!B8)</f>
        <v>-11701047.424434097</v>
      </c>
      <c r="C9" s="18">
        <f>C8*(1-Assumptions!B8)</f>
        <v>-12616633.038475294</v>
      </c>
      <c r="D9" s="18">
        <f>D8*(1-Assumptions!B8)</f>
        <v>-13603861.556457605</v>
      </c>
      <c r="E9" s="18">
        <f>E8*(1-Assumptions!B8)</f>
        <v>-14668338.904911995</v>
      </c>
      <c r="F9" s="18">
        <f>F8*(1-Assumptions!B8)</f>
        <v>-15816109.663893232</v>
      </c>
    </row>
    <row r="10" spans="1:6" x14ac:dyDescent="0.25">
      <c r="A10" t="s">
        <v>46</v>
      </c>
      <c r="B10" s="18">
        <f>B6*Assumptions!B9</f>
        <v>190821349.71381065</v>
      </c>
      <c r="C10" s="18">
        <f>C6*Assumptions!B9</f>
        <v>205752772.20211312</v>
      </c>
      <c r="D10" s="18">
        <f>D6*Assumptions!B9</f>
        <v>221852551.259838</v>
      </c>
      <c r="E10" s="18">
        <f>E6*Assumptions!B9</f>
        <v>239212108.65703988</v>
      </c>
      <c r="F10" s="18">
        <f>F6*Assumptions!B9</f>
        <v>257930019.75049374</v>
      </c>
    </row>
    <row r="11" spans="1:6" x14ac:dyDescent="0.25">
      <c r="A11" t="s">
        <v>47</v>
      </c>
      <c r="B11" s="18">
        <f>-B6*Assumptions!B10</f>
        <v>-44103146.44273365</v>
      </c>
      <c r="C11" s="18">
        <f>-C6*Assumptions!B10</f>
        <v>-47554137.19186925</v>
      </c>
      <c r="D11" s="18">
        <f>-D6*Assumptions!B10</f>
        <v>-51275161.671275854</v>
      </c>
      <c r="E11" s="18">
        <f>-E6*Assumptions!B10</f>
        <v>-55287349.52770847</v>
      </c>
      <c r="F11" s="18">
        <f>-F6*Assumptions!B10</f>
        <v>-59613483.76423263</v>
      </c>
    </row>
    <row r="12" spans="1:6" x14ac:dyDescent="0.25">
      <c r="A12" t="s">
        <v>48</v>
      </c>
      <c r="B12" s="18">
        <f>-(B6-Assumptions!B29)*Assumptions!B11</f>
        <v>-115050176.39613335</v>
      </c>
      <c r="C12" s="18">
        <f>-(C6-B6)*Assumptions!B11</f>
        <v>-124052642.80621149</v>
      </c>
      <c r="D12" s="18">
        <f>-(D6-C6)*Assumptions!B11</f>
        <v>-133759535.78914045</v>
      </c>
      <c r="E12" s="18">
        <f>-(E6-D6)*Assumptions!B11</f>
        <v>-144225975.43911818</v>
      </c>
      <c r="F12" s="18">
        <f>-(F6-E6)*Assumptions!B11</f>
        <v>-155511394.8971544</v>
      </c>
    </row>
    <row r="13" spans="1:6" x14ac:dyDescent="0.25">
      <c r="A13" s="19" t="s">
        <v>49</v>
      </c>
      <c r="B13" s="20">
        <f>B9+B10+B11+B12</f>
        <v>19966979.450509563</v>
      </c>
      <c r="C13" s="20">
        <f>C9+C10+C11+C12</f>
        <v>21529359.16555707</v>
      </c>
      <c r="D13" s="20">
        <f>D9+D10+D11+D12</f>
        <v>23213992.242964104</v>
      </c>
      <c r="E13" s="20">
        <f>E9+E10+E11+E12</f>
        <v>25030444.78530124</v>
      </c>
      <c r="F13" s="20">
        <f>F9+F10+F11+F12</f>
        <v>26989031.425213486</v>
      </c>
    </row>
    <row r="14" spans="1:6" x14ac:dyDescent="0.25">
      <c r="A14" t="s">
        <v>50</v>
      </c>
      <c r="B14" s="21">
        <f>1/(1+Assumptions!$B$26)^(1-0.5*Assumptions!$B$32)</f>
        <v>0.9506700217372441</v>
      </c>
      <c r="C14" s="21">
        <f>1/(1+Assumptions!$B$26)^(2-0.5*Assumptions!$B$32)</f>
        <v>0.8591903636023965</v>
      </c>
      <c r="D14" s="21">
        <f>1/(1+Assumptions!$B$26)^(3-0.5*Assumptions!$B$32)</f>
        <v>0.776513473684828</v>
      </c>
      <c r="E14" s="21">
        <f>1/(1+Assumptions!$B$26)^(4-0.5*Assumptions!$B$32)</f>
        <v>0.7017922923226744</v>
      </c>
      <c r="F14" s="21">
        <f>1/(1+Assumptions!$B$26)^(5-0.5*Assumptions!$B$32)</f>
        <v>0.6342612694489003</v>
      </c>
    </row>
    <row r="15" spans="1:6" x14ac:dyDescent="0.25">
      <c r="A15" s="19" t="s">
        <v>51</v>
      </c>
      <c r="B15" s="20">
        <f>B13*B14</f>
        <v>18982008.788243033</v>
      </c>
      <c r="C15" s="20">
        <f>C13*C14</f>
        <v>18497817.929581568</v>
      </c>
      <c r="D15" s="20">
        <f>D13*D14</f>
        <v>18025977.754676707</v>
      </c>
      <c r="E15" s="20">
        <f>E13*E14</f>
        <v>17566173.223732688</v>
      </c>
      <c r="F15" s="20">
        <f>F13*F14</f>
        <v>17118097.332952168</v>
      </c>
    </row>
    <row r="17" spans="1:2" x14ac:dyDescent="0.25">
      <c r="A17" s="22" t="s">
        <v>52</v>
      </c>
      <c r="B17" s="23">
        <f>SUM(B15:F15)</f>
        <v>90190075.02918616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26989031.425213486</v>
      </c>
    </row>
    <row r="5" spans="1:2" x14ac:dyDescent="0.25">
      <c r="A5" t="s">
        <v>56</v>
      </c>
      <c r="B5" s="18">
        <f>IF(Assumptions!$B$33=0,B4,B4-Forecast!F11-Forecast!F10-Forecast!F12)</f>
        <v>177313775.28038704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0.23480366595158458</v>
      </c>
    </row>
    <row r="7" spans="1:2" x14ac:dyDescent="0.25">
      <c r="A7" t="s">
        <v>58</v>
      </c>
      <c r="B7" s="18">
        <f>-MAX(Forecast!F9,0)*B6</f>
        <v>-41633924.459550336</v>
      </c>
    </row>
    <row r="8" spans="1:2" x14ac:dyDescent="0.25">
      <c r="A8" t="s">
        <v>59</v>
      </c>
      <c r="B8" s="18">
        <f>IF(OR(Assumptions!$B$33=0,Assumptions!B12&lt;=0),B5,MAX(B5+B7,0))</f>
        <v>135679850.82083672</v>
      </c>
    </row>
    <row r="9" spans="1:2" x14ac:dyDescent="0.25">
      <c r="A9" t="s">
        <v>60</v>
      </c>
      <c r="B9" s="18">
        <f>B8*(1+Assumptions!B12)/(Assumptions!B26-Assumptions!B12)</f>
        <v>1706990902.8415632</v>
      </c>
    </row>
    <row r="10" spans="1:2" x14ac:dyDescent="0.25">
      <c r="A10" t="s">
        <v>61</v>
      </c>
      <c r="B10" s="18">
        <f>B9/(1+Assumptions!B26)^(5-0.5*Assumptions!B32)</f>
        <v>1082678216.9740143</v>
      </c>
    </row>
    <row r="11" spans="1:2" x14ac:dyDescent="0.25">
      <c r="A11" t="s">
        <v>62</v>
      </c>
      <c r="B11" s="18">
        <f>Forecast!B17+B10</f>
        <v>1172868292.0032005</v>
      </c>
    </row>
    <row r="12" spans="1:2" x14ac:dyDescent="0.25">
      <c r="A12" t="s">
        <v>63</v>
      </c>
      <c r="B12" s="18">
        <f>-Assumptions!B30</f>
        <v>1238000000</v>
      </c>
    </row>
    <row r="13" spans="1:2" x14ac:dyDescent="0.25">
      <c r="A13" t="s">
        <v>64</v>
      </c>
      <c r="B13" s="18">
        <f>B11+B12</f>
        <v>2410868292.0032005</v>
      </c>
    </row>
    <row r="14" spans="1:2" x14ac:dyDescent="0.25">
      <c r="A14" s="19" t="s">
        <v>65</v>
      </c>
      <c r="B14" s="24">
        <f>B13/Assumptions!B31</f>
        <v>1.3181346593784584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241180104.8204018</v>
      </c>
    </row>
    <row r="18" spans="1:2" x14ac:dyDescent="0.25">
      <c r="A18" t="s">
        <v>60</v>
      </c>
      <c r="B18" s="18">
        <f>B17*Assumptions!B13</f>
        <v>1285073435.1799169</v>
      </c>
    </row>
    <row r="19" spans="1:2" x14ac:dyDescent="0.25">
      <c r="A19" t="s">
        <v>61</v>
      </c>
      <c r="B19" s="18">
        <f>B18/(1+Assumptions!B26)^(5-0.5*Assumptions!B32)</f>
        <v>815072308.3322731</v>
      </c>
    </row>
    <row r="20" spans="1:2" x14ac:dyDescent="0.25">
      <c r="A20" t="s">
        <v>62</v>
      </c>
      <c r="B20" s="18">
        <f>Forecast!B17+B19</f>
        <v>905262383.3614593</v>
      </c>
    </row>
    <row r="21" spans="1:2" x14ac:dyDescent="0.25">
      <c r="A21" t="s">
        <v>63</v>
      </c>
      <c r="B21" s="18">
        <f>-Assumptions!B30</f>
        <v>1238000000</v>
      </c>
    </row>
    <row r="22" spans="1:2" x14ac:dyDescent="0.25">
      <c r="A22" t="s">
        <v>64</v>
      </c>
      <c r="B22" s="18">
        <f>B20+B21</f>
        <v>2143262383.3614593</v>
      </c>
    </row>
    <row r="23" spans="1:2" x14ac:dyDescent="0.25">
      <c r="A23" s="19" t="s">
        <v>65</v>
      </c>
      <c r="B23" s="25">
        <f>B22/Assumptions!B31</f>
        <v>1.1718219701265495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239.6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131.81346593784585</v>
      </c>
    </row>
    <row r="29" spans="1:2" x14ac:dyDescent="0.25">
      <c r="A29" s="19" t="s">
        <v>73</v>
      </c>
      <c r="B29" s="12">
        <f>B28/B26-1</f>
        <v>-0.4498603258019789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0.086472</v>
      </c>
      <c r="B5" s="31">
        <v>1.5119474085754725</v>
      </c>
      <c r="C5" s="31">
        <v>1.5158069868133839</v>
      </c>
      <c r="D5" s="31">
        <v>1.5196665650512946</v>
      </c>
      <c r="E5" s="31">
        <v>1.5235261432892058</v>
      </c>
      <c r="F5" s="31">
        <v>1.5273857215271165</v>
      </c>
    </row>
    <row r="6" spans="1:6" x14ac:dyDescent="0.25">
      <c r="A6" s="30">
        <v>0.096472</v>
      </c>
      <c r="B6" s="31">
        <v>1.4012104050275094</v>
      </c>
      <c r="C6" s="31">
        <v>1.4045301791647082</v>
      </c>
      <c r="D6" s="31">
        <v>1.4078499533019058</v>
      </c>
      <c r="E6" s="31">
        <v>1.4111697274391042</v>
      </c>
      <c r="F6" s="31">
        <v>1.4144895015763024</v>
      </c>
    </row>
    <row r="7" spans="1:6" x14ac:dyDescent="0.25">
      <c r="A7" s="30">
        <v>0.106472</v>
      </c>
      <c r="B7" s="31">
        <v>1.3123589861842349</v>
      </c>
      <c r="C7" s="31">
        <v>1.3152465489705258</v>
      </c>
      <c r="D7" s="32">
        <v>1.3181341117568173</v>
      </c>
      <c r="E7" s="31">
        <v>1.3210216745431085</v>
      </c>
      <c r="F7" s="31">
        <v>1.3239092373293997</v>
      </c>
    </row>
    <row r="8" spans="1:6" x14ac:dyDescent="0.25">
      <c r="A8" s="30">
        <v>0.116472</v>
      </c>
      <c r="B8" s="31">
        <v>1.2396993527735172</v>
      </c>
      <c r="C8" s="31">
        <v>1.2422342594841118</v>
      </c>
      <c r="D8" s="31">
        <v>1.2447691661947067</v>
      </c>
      <c r="E8" s="31">
        <v>1.247304072905301</v>
      </c>
      <c r="F8" s="31">
        <v>1.2498389796158957</v>
      </c>
    </row>
    <row r="9" spans="1:6" x14ac:dyDescent="0.25">
      <c r="A9" s="30">
        <v>0.126472</v>
      </c>
      <c r="B9" s="31">
        <v>1.1793419287334836</v>
      </c>
      <c r="C9" s="31">
        <v>1.1815845843265578</v>
      </c>
      <c r="D9" s="31">
        <v>1.1838272399196312</v>
      </c>
      <c r="E9" s="31">
        <v>1.186069895512705</v>
      </c>
      <c r="F9" s="31">
        <v>1.1883125511057788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1745000000</v>
      </c>
      <c r="C5" s="18">
        <v>1529000000</v>
      </c>
      <c r="D5" s="18">
        <v>1448000000</v>
      </c>
      <c r="E5" s="18">
        <v>1392000000</v>
      </c>
      <c r="F5" s="8" t="s">
        <v>84</v>
      </c>
    </row>
    <row r="6" spans="1:6" x14ac:dyDescent="0.25">
      <c r="A6" t="s">
        <v>44</v>
      </c>
      <c r="B6" s="18">
        <v>442000000</v>
      </c>
      <c r="C6" s="18">
        <v>251000000</v>
      </c>
      <c r="D6" s="18">
        <v>-6000000</v>
      </c>
      <c r="E6" s="18">
        <v>-612000000</v>
      </c>
      <c r="F6" s="8" t="s">
        <v>85</v>
      </c>
    </row>
    <row r="7" spans="1:6" x14ac:dyDescent="0.25">
      <c r="A7" t="s">
        <v>86</v>
      </c>
      <c r="B7" s="18">
        <v>131000000</v>
      </c>
      <c r="C7" s="18">
        <v>152000000</v>
      </c>
      <c r="D7" s="18">
        <v>160000000</v>
      </c>
      <c r="E7" s="18">
        <v>168000000</v>
      </c>
      <c r="F7" s="8" t="s">
        <v>87</v>
      </c>
    </row>
    <row r="8" spans="1:6" x14ac:dyDescent="0.25">
      <c r="A8" t="s">
        <v>88</v>
      </c>
      <c r="B8" s="18">
        <v>21000000</v>
      </c>
      <c r="C8" s="18">
        <v>33000000</v>
      </c>
      <c r="D8" s="18">
        <v>59000000</v>
      </c>
      <c r="E8" s="18">
        <v>27000000</v>
      </c>
      <c r="F8" s="8" t="s">
        <v>89</v>
      </c>
    </row>
    <row r="9" spans="1:6" x14ac:dyDescent="0.25">
      <c r="A9" t="s">
        <v>90</v>
      </c>
      <c r="B9" s="18">
        <v>182000000</v>
      </c>
      <c r="C9" s="18">
        <v>101000000</v>
      </c>
      <c r="D9" s="18">
        <v>-25000000</v>
      </c>
      <c r="E9" s="18">
        <v>-156000000</v>
      </c>
      <c r="F9" s="8" t="s">
        <v>91</v>
      </c>
    </row>
    <row r="10" spans="1:6" x14ac:dyDescent="0.25">
      <c r="A10" t="s">
        <v>92</v>
      </c>
      <c r="B10" s="18">
        <v>557000000</v>
      </c>
      <c r="C10" s="18">
        <v>597000000</v>
      </c>
      <c r="D10" s="18">
        <v>599000000</v>
      </c>
      <c r="E10" s="18">
        <v>624000000</v>
      </c>
      <c r="F10" s="8" t="s">
        <v>93</v>
      </c>
    </row>
    <row r="11" spans="1:6" x14ac:dyDescent="0.25">
      <c r="A11" t="s">
        <v>94</v>
      </c>
      <c r="B11" s="18">
        <v>1795000000</v>
      </c>
      <c r="C11" s="18">
        <v>1335000000</v>
      </c>
      <c r="D11" s="18">
        <v>1209000000</v>
      </c>
      <c r="E11" s="18">
        <v>1156000000</v>
      </c>
      <c r="F11" s="8" t="s">
        <v>95</v>
      </c>
    </row>
    <row r="12" spans="1:6" x14ac:dyDescent="0.25">
      <c r="A12" t="s">
        <v>32</v>
      </c>
      <c r="B12" s="34">
        <v>1829000000</v>
      </c>
      <c r="C12" s="34">
        <v>1818000000</v>
      </c>
      <c r="D12" s="34">
        <v>1930000000</v>
      </c>
      <c r="E12" s="34">
        <v>2110000000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