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<sst xmlns="http://schemas.openxmlformats.org/spreadsheetml/2006/main" count="114" uniqueCount="102">
  <si>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ABN AMRO Bank N.V. (ABN.AS)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</si>
  <si>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</si>
  <si>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</si>
  <si>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</si>
  <si>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</si>
  <si>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</si>
  <si>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</si>
  <si>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</si>
  <si>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</si>
  <si>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</si>
  <si>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</si>
  <si>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</si>
  <si>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</si>
  <si>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</si>
  <si>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</si>
  <si>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</si>
  <si>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</si>
  <si>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</si>
  <si>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</si>
  <si>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</si>
  <si>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</si>
  <si>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</si>
  <si>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</si>
  <si>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</si>
  <si>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</si>
  <si>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</si>
  <si>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</si>
  <si>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</si>
  <si>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</si>
  <si>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</si>
  <si>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</si>
  <si>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</si>
  <si>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</si>
  <si>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</si>
  <si>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</si>
  <si>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</si>
  <si>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</si>
  <si>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</si>
  <si>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</si>
  <si>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</si>
  <si>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</si>
  <si>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</si>
  <si>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</si>
  <si>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</si>
  <si>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</si>
  <si>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</si>
  <si>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</si>
  <si>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</si>
  <si>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</si>
  <si>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</si>
  <si>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</si>
  <si>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</si>
  <si>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</si>
  <si>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</si>
  <si>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</si>
  <si>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</si>
  <si>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</si>
  <si>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</si>
  <si>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</si>
  <si>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</si>
  <si>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</si>
  <si>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</si>
  <si>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</si>
  <si>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</si>
  <si>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</si>
  <si>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</si>
  <si>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</si>
  <si>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</si>
  <si>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</si>
  <si>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</si>
  <si>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</si>
  <si>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</si>
  <si>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</si>
  <si>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</si>
  <si>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</si>
  <si>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</si>
  <si>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</si>
  <si>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</si>
  <si>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</si>
  <si>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</si>
  <si>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</si>
  <si>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</si>
  <si>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</si>
  <si>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</si>
  <si>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</si>
  <si>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</si>
  <si>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</si>
  <si>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</si>
  <si>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</si>
  <si>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</si>
  <si>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</si>
  <si>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</si>
  <si>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</si>
  <si>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</si>
  <si>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</si>
  <si>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</si>
  <si>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</si>
  <si>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</si>
  <si>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</si>
  <si>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Capital expenditure runs at 3.9% of revenue against depreciation of 2.0%.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</si>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</sst>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0.04553872459073882</v>
      </c>
    </row>
    <row r="7" spans="1:2" x14ac:dyDescent="0.25">
      <c r="A7" t="s">
        <v>5</v>
      </c>
      <c r="B7" s="6">
        <v>0.3652632152685279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0.020129412752417454</v>
      </c>
    </row>
    <row r="10" spans="1:2" x14ac:dyDescent="0.25">
      <c r="A10" t="s">
        <v>8</v>
      </c>
      <c r="B10" s="6">
        <v>0.03852123665426806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19.60468225099724</v>
      </c>
    </row>
    <row r="14" spans="1:3" x14ac:dyDescent="0.25">
      <c r="A14" t="s">
        <v>12</v>
      </c>
      <c r="B14" s="6">
        <v>0.0818038067231092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0.82379</v>
      </c>
      <c r="C19" s="8" t="s">
        <v>19</v>
      </c>
    </row>
    <row r="20" spans="1:2" x14ac:dyDescent="0.25">
      <c r="A20" t="s">
        <v>20</v>
      </c>
      <c r="B20" s="10">
        <f>B17+B19*B18</f>
        <v>0.09554635</v>
      </c>
    </row>
    <row r="21" spans="1:3" x14ac:dyDescent="0.25">
      <c r="A21" t="s">
        <v>21</v>
      </c>
      <c r="B21" s="6">
        <v>0.10090643075030598</v>
      </c>
      <c r="C21" s="8" t="s">
        <v>22</v>
      </c>
    </row>
    <row r="22" spans="1:2" x14ac:dyDescent="0.25">
      <c r="A22" t="s">
        <v>23</v>
      </c>
      <c r="B22" s="11">
        <v>35392659456</v>
      </c>
    </row>
    <row r="23" spans="1:2" x14ac:dyDescent="0.25">
      <c r="A23" t="s">
        <v>24</v>
      </c>
      <c r="B23" s="11">
        <v>79423000000</v>
      </c>
    </row>
    <row r="24" spans="1:2" x14ac:dyDescent="0.25">
      <c r="A24" t="s">
        <v>25</v>
      </c>
      <c r="B24" s="10">
        <f>B22/(B22+B23)</f>
        <v>0.30825637917067644</v>
      </c>
    </row>
    <row r="25" spans="1:2" x14ac:dyDescent="0.25">
      <c r="A25" t="s">
        <v>26</v>
      </c>
      <c r="B25" s="10">
        <f>1-B24</f>
        <v>0.6917436208293235</v>
      </c>
    </row>
    <row r="26" spans="1:2" x14ac:dyDescent="0.25">
      <c r="A26" t="s">
        <v>27</v>
      </c>
      <c r="B26" s="12">
        <f>B24*B20+B25*B21*(1-B8)</f>
        <v>0.0818038067231092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8732000000</v>
      </c>
      <c r="C29" s="8" t="s">
        <v>30</v>
      </c>
    </row>
    <row r="30" spans="1:2" x14ac:dyDescent="0.25">
      <c r="A30" t="s">
        <v>31</v>
      </c>
      <c r="B30" s="11">
        <v>28499000000</v>
      </c>
    </row>
    <row r="31" spans="1:2" x14ac:dyDescent="0.25">
      <c r="A31" t="s">
        <v>32</v>
      </c>
      <c r="B31" s="13">
        <v>830000000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0.04553872459073882</v>
      </c>
      <c r="C5" s="10">
        <f>Assumptions!B6</f>
        <v>0.04553872459073882</v>
      </c>
      <c r="D5" s="10">
        <f>Assumptions!B6</f>
        <v>0.04553872459073882</v>
      </c>
      <c r="E5" s="10">
        <f>Assumptions!B6</f>
        <v>0.04553872459073882</v>
      </c>
      <c r="F5" s="10">
        <f>Assumptions!B6</f>
        <v>0.04553872459073882</v>
      </c>
    </row>
    <row r="6" spans="1:6" x14ac:dyDescent="0.25">
      <c r="A6" t="s">
        <v>43</v>
      </c>
      <c r="B6" s="18">
        <f>Assumptions!B29*(1+B5)</f>
        <v>9129644143.126331</v>
      </c>
      <c r="C6" s="18">
        <f>B6*(1+C5)</f>
        <v>9545396493.371613</v>
      </c>
      <c r="D6" s="18">
        <f>C6*(1+D5)</f>
        <v>9980081675.392666</v>
      </c>
      <c r="E6" s="18">
        <f>D6*(1+E5)</f>
        <v>10434561866.201452</v>
      </c>
      <c r="F6" s="18">
        <f>E6*(1+F5)</f>
        <v>10909738505.251427</v>
      </c>
    </row>
    <row r="7" spans="1:6" x14ac:dyDescent="0.25">
      <c r="A7" t="s">
        <v>5</v>
      </c>
      <c r="B7" s="10">
        <f>Assumptions!B7</f>
        <v>0.3652632152685279</v>
      </c>
      <c r="C7" s="10">
        <f>Assumptions!B7</f>
        <v>0.3652632152685279</v>
      </c>
      <c r="D7" s="10">
        <f>Assumptions!B7</f>
        <v>0.3652632152685279</v>
      </c>
      <c r="E7" s="10">
        <f>Assumptions!B7</f>
        <v>0.3652632152685279</v>
      </c>
      <c r="F7" s="10">
        <f>Assumptions!B7</f>
        <v>0.3652632152685279</v>
      </c>
    </row>
    <row r="8" spans="1:6" x14ac:dyDescent="0.25">
      <c r="A8" t="s">
        <v>44</v>
      </c>
      <c r="B8" s="18">
        <f>B6*B7</f>
        <v>3334723173.975808</v>
      </c>
      <c r="C8" s="18">
        <f>C6*C7</f>
        <v>3486582214.1818466</v>
      </c>
      <c r="D8" s="18">
        <f>D6*D7</f>
        <v>3645356721.396442</v>
      </c>
      <c r="E8" s="18">
        <f>E6*E7</f>
        <v>3811361617.1671133</v>
      </c>
      <c r="F8" s="18">
        <f>F6*F7</f>
        <v>3984926164.167</v>
      </c>
    </row>
    <row r="9" spans="1:6" x14ac:dyDescent="0.25">
      <c r="A9" t="s">
        <v>45</v>
      </c>
      <c r="B9" s="18">
        <f>B8*(1-Assumptions!B8)</f>
        <v>2501042380.4818563</v>
      </c>
      <c r="C9" s="18">
        <f>C8*(1-Assumptions!B8)</f>
        <v>2614936660.636385</v>
      </c>
      <c r="D9" s="18">
        <f>D8*(1-Assumptions!B8)</f>
        <v>2734017541.0473313</v>
      </c>
      <c r="E9" s="18">
        <f>E8*(1-Assumptions!B8)</f>
        <v>2858521212.8753347</v>
      </c>
      <c r="F9" s="18">
        <f>F8*(1-Assumptions!B8)</f>
        <v>2988694623.12525</v>
      </c>
    </row>
    <row r="10" spans="1:6" x14ac:dyDescent="0.25">
      <c r="A10" t="s">
        <v>46</v>
      </c>
      <c r="B10" s="18">
        <f>B6*Assumptions!B9</f>
        <v>183774375.2396805</v>
      </c>
      <c r="C10" s="18">
        <f>C6*Assumptions!B9</f>
        <v>192143225.90055537</v>
      </c>
      <c r="D10" s="18">
        <f>D6*Assumptions!B9</f>
        <v>200893183.34681687</v>
      </c>
      <c r="E10" s="18">
        <f>E6*Assumptions!B9</f>
        <v>210041602.69540438</v>
      </c>
      <c r="F10" s="18">
        <f>F6*Assumptions!B9</f>
        <v>219606629.3931478</v>
      </c>
    </row>
    <row r="11" spans="1:6" x14ac:dyDescent="0.25">
      <c r="A11" t="s">
        <v>47</v>
      </c>
      <c r="B11" s="18">
        <f>-B6*Assumptions!B10</f>
        <v>-351685182.60662174</v>
      </c>
      <c r="C11" s="18">
        <f>-C6*Assumptions!B10</f>
        <v>-367700477.27998835</v>
      </c>
      <c r="D11" s="18">
        <f>-D6*Assumptions!B10</f>
        <v>-384445088.0467249</v>
      </c>
      <c r="E11" s="18">
        <f>-E6*Assumptions!B10</f>
        <v>-401952227.03154707</v>
      </c>
      <c r="F11" s="18">
        <f>-F6*Assumptions!B10</f>
        <v>-420256618.79697084</v>
      </c>
    </row>
    <row r="12" spans="1:6" x14ac:dyDescent="0.25">
      <c r="A12" t="s">
        <v>48</v>
      </c>
      <c r="B12" s="18">
        <f>-(B6-Assumptions!B29)*Assumptions!B11</f>
        <v>-397644143.1263313</v>
      </c>
      <c r="C12" s="18">
        <f>-(C6-B6)*Assumptions!B11</f>
        <v>-415752350.2452812</v>
      </c>
      <c r="D12" s="18">
        <f>-(D6-C6)*Assumptions!B11</f>
        <v>-434685182.0210533</v>
      </c>
      <c r="E12" s="18">
        <f>-(E6-D6)*Assumptions!B11</f>
        <v>-454480190.8087864</v>
      </c>
      <c r="F12" s="18">
        <f>-(F6-E6)*Assumptions!B11</f>
        <v>-475176639.04997444</v>
      </c>
    </row>
    <row r="13" spans="1:6" x14ac:dyDescent="0.25">
      <c r="A13" s="19" t="s">
        <v>49</v>
      </c>
      <c r="B13" s="20">
        <f>B9+B10+B11+B12</f>
        <v>1935487429.9885836</v>
      </c>
      <c r="C13" s="20">
        <f>C9+C10+C11+C12</f>
        <v>2023627059.011671</v>
      </c>
      <c r="D13" s="20">
        <f>D9+D10+D11+D12</f>
        <v>2115780454.3263702</v>
      </c>
      <c r="E13" s="20">
        <f>E9+E10+E11+E12</f>
        <v>2212130397.730406</v>
      </c>
      <c r="F13" s="20">
        <f>F9+F10+F11+F12</f>
        <v>2312867994.6714525</v>
      </c>
    </row>
    <row r="14" spans="1:6" x14ac:dyDescent="0.25">
      <c r="A14" t="s">
        <v>50</v>
      </c>
      <c r="B14" s="21">
        <f>1/(1+Assumptions!$B$26)^(1-0.5*Assumptions!$B$32)</f>
        <v>0.9614478826217936</v>
      </c>
      <c r="C14" s="21">
        <f>1/(1+Assumptions!$B$26)^(2-0.5*Assumptions!$B$32)</f>
        <v>0.8887451464365931</v>
      </c>
      <c r="D14" s="21">
        <f>1/(1+Assumptions!$B$26)^(3-0.5*Assumptions!$B$32)</f>
        <v>0.8215400435026108</v>
      </c>
      <c r="E14" s="21">
        <f>1/(1+Assumptions!$B$26)^(4-0.5*Assumptions!$B$32)</f>
        <v>0.7594168539590711</v>
      </c>
      <c r="F14" s="21">
        <f>1/(1+Assumptions!$B$26)^(5-0.5*Assumptions!$B$32)</f>
        <v>0.7019912938367447</v>
      </c>
    </row>
    <row r="15" spans="1:6" x14ac:dyDescent="0.25">
      <c r="A15" s="19" t="s">
        <v>51</v>
      </c>
      <c r="B15" s="20">
        <f>B13*B14</f>
        <v>1860870291.4036207</v>
      </c>
      <c r="C15" s="20">
        <f>C13*C14</f>
        <v>1798488726.8943799</v>
      </c>
      <c r="D15" s="20">
        <f>D13*D14</f>
        <v>1738198366.4892597</v>
      </c>
      <c r="E15" s="20">
        <f>E13*E14</f>
        <v>1679929107.1916535</v>
      </c>
      <c r="F15" s="20">
        <f>F13*F14</f>
        <v>1623613196.0530102</v>
      </c>
    </row>
    <row r="17" spans="1:2" x14ac:dyDescent="0.25">
      <c r="A17" s="22" t="s">
        <v>52</v>
      </c>
      <c r="B17" s="23">
        <f>SUM(B15:F15)</f>
        <v>8701099688.031923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2312867994.6714525</v>
      </c>
    </row>
    <row r="5" spans="1:2" x14ac:dyDescent="0.25">
      <c r="A5" t="s">
        <v>56</v>
      </c>
      <c r="B5" s="18">
        <f>IF(Assumptions!$B$33=0,B4,B4-Forecast!F11-Forecast!F10-Forecast!F12)</f>
        <v>3005963039.6457915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0.3056092497580264</v>
      </c>
    </row>
    <row r="7" spans="1:2" x14ac:dyDescent="0.25">
      <c r="A7" t="s">
        <v>58</v>
      </c>
      <c r="B7" s="18">
        <f>-MAX(Forecast!F9,0)*B6</f>
        <v>-918650109.3465068</v>
      </c>
    </row>
    <row r="8" spans="1:2" x14ac:dyDescent="0.25">
      <c r="A8" t="s">
        <v>59</v>
      </c>
      <c r="B8" s="18">
        <f>IF(OR(Assumptions!$B$33=0,Assumptions!B12&lt;=0),B5,MAX(B5+B7,0))</f>
        <v>2087312930.2992847</v>
      </c>
    </row>
    <row r="9" spans="1:2" x14ac:dyDescent="0.25">
      <c r="A9" t="s">
        <v>60</v>
      </c>
      <c r="B9" s="18">
        <f>B8*(1+Assumptions!B12)/(Assumptions!B26-Assumptions!B12)</f>
        <v>37664654483.20678</v>
      </c>
    </row>
    <row r="10" spans="1:2" x14ac:dyDescent="0.25">
      <c r="A10" t="s">
        <v>61</v>
      </c>
      <c r="B10" s="18">
        <f>B9/(1+Assumptions!B26)^(5-0.5*Assumptions!B32)</f>
        <v>26440259532.580276</v>
      </c>
    </row>
    <row r="11" spans="1:2" x14ac:dyDescent="0.25">
      <c r="A11" t="s">
        <v>62</v>
      </c>
      <c r="B11" s="18">
        <f>Forecast!B17+B10</f>
        <v>35141359220.6122</v>
      </c>
    </row>
    <row r="12" spans="1:2" x14ac:dyDescent="0.25">
      <c r="A12" t="s">
        <v>63</v>
      </c>
      <c r="B12" s="18">
        <f>-Assumptions!B30</f>
        <v>-28499000000</v>
      </c>
    </row>
    <row r="13" spans="1:2" x14ac:dyDescent="0.25">
      <c r="A13" t="s">
        <v>64</v>
      </c>
      <c r="B13" s="18">
        <f>B11+B12</f>
        <v>6642359220.612198</v>
      </c>
    </row>
    <row r="14" spans="1:2" x14ac:dyDescent="0.25">
      <c r="A14" s="19" t="s">
        <v>65</v>
      </c>
      <c r="B14" s="24">
        <f>B13/Assumptions!B31</f>
        <v>8.002842434472528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4204532793.560148</v>
      </c>
    </row>
    <row r="18" spans="1:2" x14ac:dyDescent="0.25">
      <c r="A18" t="s">
        <v>60</v>
      </c>
      <c r="B18" s="18">
        <f>B17*Assumptions!B13</f>
        <v>82428529431.64447</v>
      </c>
    </row>
    <row r="19" spans="1:2" x14ac:dyDescent="0.25">
      <c r="A19" t="s">
        <v>61</v>
      </c>
      <c r="B19" s="18">
        <f>B18/(1+Assumptions!B26)^(5-0.5*Assumptions!B32)</f>
        <v>57864110024.7803</v>
      </c>
    </row>
    <row r="20" spans="1:2" x14ac:dyDescent="0.25">
      <c r="A20" t="s">
        <v>62</v>
      </c>
      <c r="B20" s="18">
        <f>Forecast!B17+B19</f>
        <v>66565209712.81222</v>
      </c>
    </row>
    <row r="21" spans="1:2" x14ac:dyDescent="0.25">
      <c r="A21" t="s">
        <v>63</v>
      </c>
      <c r="B21" s="18">
        <f>-Assumptions!B30</f>
        <v>-28499000000</v>
      </c>
    </row>
    <row r="22" spans="1:2" x14ac:dyDescent="0.25">
      <c r="A22" t="s">
        <v>64</v>
      </c>
      <c r="B22" s="18">
        <f>B20+B21</f>
        <v>38066209712.81222</v>
      </c>
    </row>
    <row r="23" spans="1:2" x14ac:dyDescent="0.25">
      <c r="A23" s="19" t="s">
        <v>65</v>
      </c>
      <c r="B23" s="25">
        <f>B22/Assumptions!B31</f>
        <v>45.862903268448456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43.43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8.002842434472528</v>
      </c>
    </row>
    <row r="29" spans="1:2" x14ac:dyDescent="0.25">
      <c r="A29" s="19" t="s">
        <v>73</v>
      </c>
      <c r="B29" s="12">
        <f>B28/B26-1</f>
        <v>-0.8157300844008167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0.061804</v>
      </c>
      <c r="B5" s="31">
        <v>22.048013716695568</v>
      </c>
      <c r="C5" s="31">
        <v>22.271710303503674</v>
      </c>
      <c r="D5" s="31">
        <v>22.495406890311752</v>
      </c>
      <c r="E5" s="31">
        <v>22.71910347711985</v>
      </c>
      <c r="F5" s="31">
        <v>22.942800063927947</v>
      </c>
    </row>
    <row r="6" spans="1:6" x14ac:dyDescent="0.25">
      <c r="A6" s="30">
        <v>0.071804</v>
      </c>
      <c r="B6" s="31">
        <v>13.859206702312138</v>
      </c>
      <c r="C6" s="31">
        <v>14.043796515065278</v>
      </c>
      <c r="D6" s="31">
        <v>14.228386327818399</v>
      </c>
      <c r="E6" s="31">
        <v>14.412976140571539</v>
      </c>
      <c r="F6" s="31">
        <v>14.59756595332467</v>
      </c>
    </row>
    <row r="7" spans="1:6" x14ac:dyDescent="0.25">
      <c r="A7" s="30">
        <v>0.081804</v>
      </c>
      <c r="B7" s="31">
        <v>7.691950335237131</v>
      </c>
      <c r="C7" s="31">
        <v>7.847343669385372</v>
      </c>
      <c r="D7" s="32">
        <v>8.002737003533605</v>
      </c>
      <c r="E7" s="31">
        <v>8.158130337681856</v>
      </c>
      <c r="F7" s="31">
        <v>8.313523671830088</v>
      </c>
    </row>
    <row r="8" spans="1:6" x14ac:dyDescent="0.25">
      <c r="A8" s="30">
        <v>0.091804</v>
      </c>
      <c r="B8" s="31">
        <v>2.884631469541568</v>
      </c>
      <c r="C8" s="31">
        <v>3.017481873448374</v>
      </c>
      <c r="D8" s="31">
        <v>3.1503322773551665</v>
      </c>
      <c r="E8" s="31">
        <v>3.2831826812619727</v>
      </c>
      <c r="F8" s="31">
        <v>3.416033085168765</v>
      </c>
    </row>
    <row r="9" spans="1:6" x14ac:dyDescent="0.25">
      <c r="A9" s="30">
        <v>0.101804</v>
      </c>
      <c r="B9" s="31">
        <v>-0.9643477825464823</v>
      </c>
      <c r="C9" s="31">
        <v>-0.849362791738432</v>
      </c>
      <c r="D9" s="31">
        <v>-0.7343778009303908</v>
      </c>
      <c r="E9" s="31">
        <v>-0.6193928101223314</v>
      </c>
      <c r="F9" s="31">
        <v>-0.5044078193142902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8732000000</v>
      </c>
      <c r="C5" s="18">
        <v>8896000000</v>
      </c>
      <c r="D5" s="18">
        <v>8586000000</v>
      </c>
      <c r="E5" s="18">
        <v>7640000000</v>
      </c>
      <c r="F5" s="8" t="s">
        <v>84</v>
      </c>
    </row>
    <row r="6" spans="1:6" x14ac:dyDescent="0.25">
      <c r="A6" t="s">
        <v>44</v>
      </c>
      <c r="B6" s="18">
        <v>3086000000</v>
      </c>
      <c r="C6" s="18">
        <v>3415000000</v>
      </c>
      <c r="D6" s="18">
        <v>3544000000</v>
      </c>
      <c r="E6" s="18">
        <v>2376000000</v>
      </c>
      <c r="F6" s="8" t="s">
        <v>85</v>
      </c>
    </row>
    <row r="7" spans="1:6" x14ac:dyDescent="0.25">
      <c r="A7" t="s">
        <v>86</v>
      </c>
      <c r="B7" s="18">
        <v>173000000</v>
      </c>
      <c r="C7" s="18">
        <v>160000000</v>
      </c>
      <c r="D7" s="18">
        <v>169000000</v>
      </c>
      <c r="E7" s="18">
        <v>176000000</v>
      </c>
      <c r="F7" s="8" t="s">
        <v>87</v>
      </c>
    </row>
    <row r="8" spans="1:6" x14ac:dyDescent="0.25">
      <c r="A8" t="s">
        <v>88</v>
      </c>
      <c r="B8" s="18">
        <v>392000000</v>
      </c>
      <c r="C8" s="18">
        <v>452000000</v>
      </c>
      <c r="D8" s="18">
        <v>290000000</v>
      </c>
      <c r="E8" s="18">
        <v>188000000</v>
      </c>
      <c r="F8" s="8" t="s">
        <v>89</v>
      </c>
    </row>
    <row r="9" spans="1:6" x14ac:dyDescent="0.25">
      <c r="A9" t="s">
        <v>90</v>
      </c>
      <c r="B9" s="18">
        <v>2869000000</v>
      </c>
      <c r="C9" s="18">
        <v>12565000000</v>
      </c>
      <c r="D9" s="18">
        <v>13195000000</v>
      </c>
      <c r="E9" s="18">
        <v>17722000000</v>
      </c>
      <c r="F9" s="8" t="s">
        <v>91</v>
      </c>
    </row>
    <row r="10" spans="1:6" x14ac:dyDescent="0.25">
      <c r="A10" t="s">
        <v>92</v>
      </c>
      <c r="B10" s="18">
        <v>79423000000</v>
      </c>
      <c r="C10" s="18">
        <v>81538000000</v>
      </c>
      <c r="D10" s="18">
        <v>72225000000</v>
      </c>
      <c r="E10" s="18">
        <v>63962000000</v>
      </c>
      <c r="F10" s="8" t="s">
        <v>93</v>
      </c>
    </row>
    <row r="11" spans="1:6" x14ac:dyDescent="0.25">
      <c r="A11" t="s">
        <v>94</v>
      </c>
      <c r="B11" s="18">
        <v>50924000000</v>
      </c>
      <c r="C11" s="18">
        <v>45799000000</v>
      </c>
      <c r="D11" s="18">
        <v>55238000000</v>
      </c>
      <c r="E11" s="18">
        <v>62836000000</v>
      </c>
      <c r="F11" s="8" t="s">
        <v>95</v>
      </c>
    </row>
    <row r="12" spans="1:6" x14ac:dyDescent="0.25">
      <c r="A12" t="s">
        <v>32</v>
      </c>
      <c r="B12" s="34">
        <v>830000000</v>
      </c>
      <c r="C12" s="34">
        <v>841000000</v>
      </c>
      <c r="D12" s="34">
        <v>872000000</v>
      </c>
      <c r="E12" s="34">
        <v>908000000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2026-09-19T00:06:53Z</dcterms:modified>
</cp:coreProperties>
</file>