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<sst xmlns="http://schemas.openxmlformats.org/spreadsheetml/2006/main" count="115" uniqueCount="102">
  <si>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Airbnb, Inc. (ABNB)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</si>
  <si>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</si>
  <si>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</si>
  <si>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</si>
  <si>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</si>
  <si>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</si>
  <si>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</si>
  <si>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</si>
  <si>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</si>
  <si>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</si>
  <si>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</si>
  <si>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</si>
  <si>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</si>
  <si>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</si>
  <si>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</si>
  <si>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</si>
  <si>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</si>
  <si>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</si>
  <si>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</si>
  <si>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</si>
  <si>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</si>
  <si>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</si>
  <si>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</si>
  <si>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</si>
  <si>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</si>
  <si>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</si>
  <si>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</si>
  <si>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</si>
  <si>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</si>
  <si>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</si>
  <si>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</si>
  <si>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</si>
  <si>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</si>
  <si>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</si>
  <si>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</si>
  <si>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</si>
  <si>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</si>
  <si>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</si>
  <si>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</si>
  <si>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</si>
  <si>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</si>
  <si>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</si>
  <si>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</si>
  <si>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</si>
  <si>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</si>
  <si>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</si>
  <si>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</si>
  <si>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</si>
  <si>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</si>
  <si>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</si>
  <si>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</si>
  <si>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</si>
  <si>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</si>
  <si>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</si>
  <si>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</si>
  <si>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</si>
  <si>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</si>
  <si>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</si>
  <si>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</si>
  <si>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</si>
  <si>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</si>
  <si>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</si>
  <si>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</si>
  <si>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</si>
  <si>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</si>
  <si>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</si>
  <si>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</si>
  <si>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</si>
  <si>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</si>
  <si>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</si>
  <si>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</si>
  <si>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</si>
  <si>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</si>
  <si>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</si>
  <si>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</si>
  <si>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</si>
  <si>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</si>
  <si>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</si>
  <si>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</si>
  <si>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</si>
  <si>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</si>
  <si>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</si>
  <si>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</si>
  <si>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</si>
  <si>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</si>
  <si>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</si>
  <si>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</si>
  <si>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</si>
  <si>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</si>
  <si>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</si>
  <si>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</si>
  <si>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</si>
  <si>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</si>
  <si>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</si>
  <si>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</si>
  <si>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</si>
  <si>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</si>
  <si>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</si>
  <si>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0.07%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</si>
  <si>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0.5%. A perpetuity has to be a steady state, so the terminal year uses maintenance capex at depreciation and then charges the reinvestment terminal growth requires (g/ROIC of NOPAT). The bridge is shown under Terminal Value.</t>
  </si>
  <si>
    <t>Current EV/EBITDA of 35.6x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</si>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</sst>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0.13378255972989694</v>
      </c>
    </row>
    <row r="7" spans="1:2" x14ac:dyDescent="0.25">
      <c r="A7" t="s">
        <v>5</v>
      </c>
      <c r="B7" s="6">
        <v>0.20400026493499818</v>
      </c>
    </row>
    <row r="8" spans="1:2" x14ac:dyDescent="0.25">
      <c r="A8" t="s">
        <v>6</v>
      </c>
      <c r="B8" s="6">
        <v>0.1995537137392413</v>
      </c>
    </row>
    <row r="9" spans="1:2" x14ac:dyDescent="0.25">
      <c r="A9" t="s">
        <v>7</v>
      </c>
      <c r="B9" s="6">
        <v>0.004983907957101569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0.056540084388185655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0.19802093853558222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1.1078700000000001</v>
      </c>
      <c r="C19" s="8" t="s">
        <v>19</v>
      </c>
    </row>
    <row r="20" spans="1:2" x14ac:dyDescent="0.25">
      <c r="A20" t="s">
        <v>20</v>
      </c>
      <c r="B20" s="10">
        <f>B17+B19*B18</f>
        <v>0.11091285000000001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99530153984</v>
      </c>
    </row>
    <row r="23" spans="1:2" x14ac:dyDescent="0.25">
      <c r="A23" t="s">
        <v>24</v>
      </c>
      <c r="B23" s="11">
        <v>2067000000</v>
      </c>
    </row>
    <row r="24" spans="1:2" x14ac:dyDescent="0.25">
      <c r="A24" t="s">
        <v>25</v>
      </c>
      <c r="B24" s="10">
        <f>B22/(B22+B23)</f>
        <v>0.9796549419058971</v>
      </c>
    </row>
    <row r="25" spans="1:2" x14ac:dyDescent="0.25">
      <c r="A25" t="s">
        <v>26</v>
      </c>
      <c r="B25" s="10">
        <f>1-B24</f>
        <v>0.02034505809410292</v>
      </c>
    </row>
    <row r="26" spans="1:2" x14ac:dyDescent="0.25">
      <c r="A26" t="s">
        <v>27</v>
      </c>
      <c r="B26" s="12">
        <f>B24*B20+B25*B21*(1-B8)</f>
        <v>0.10979595475450646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12241000000</v>
      </c>
      <c r="C29" s="8" t="s">
        <v>30</v>
      </c>
    </row>
    <row r="30" spans="1:2" x14ac:dyDescent="0.25">
      <c r="A30" t="s">
        <v>31</v>
      </c>
      <c r="B30" s="11">
        <v>-8947000000</v>
      </c>
    </row>
    <row r="31" spans="1:2" x14ac:dyDescent="0.25">
      <c r="A31" t="s">
        <v>32</v>
      </c>
      <c r="B31" s="13">
        <v>623000000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0.13378255972989694</v>
      </c>
      <c r="C5" s="10">
        <f>Assumptions!B6</f>
        <v>0.13378255972989694</v>
      </c>
      <c r="D5" s="10">
        <f>Assumptions!B6</f>
        <v>0.13378255972989694</v>
      </c>
      <c r="E5" s="10">
        <f>Assumptions!B6</f>
        <v>0.13378255972989694</v>
      </c>
      <c r="F5" s="10">
        <f>Assumptions!B6</f>
        <v>0.13378255972989694</v>
      </c>
    </row>
    <row r="6" spans="1:6" x14ac:dyDescent="0.25">
      <c r="A6" t="s">
        <v>43</v>
      </c>
      <c r="B6" s="18">
        <f>Assumptions!B29*(1+B5)</f>
        <v>13878632313.65367</v>
      </c>
      <c r="C6" s="18">
        <f>B6*(1+C5)</f>
        <v>15735351270.12432</v>
      </c>
      <c r="D6" s="18">
        <f>C6*(1+D5)</f>
        <v>17840466841.290634</v>
      </c>
      <c r="E6" s="18">
        <f>D6*(1+E5)</f>
        <v>20227210162.094845</v>
      </c>
      <c r="F6" s="18">
        <f>E6*(1+F5)</f>
        <v>22933258113.774475</v>
      </c>
    </row>
    <row r="7" spans="1:6" x14ac:dyDescent="0.25">
      <c r="A7" t="s">
        <v>5</v>
      </c>
      <c r="B7" s="10">
        <f>Assumptions!B7</f>
        <v>0.20400026493499818</v>
      </c>
      <c r="C7" s="10">
        <f>Assumptions!B7</f>
        <v>0.20400026493499818</v>
      </c>
      <c r="D7" s="10">
        <f>Assumptions!B7</f>
        <v>0.20400026493499818</v>
      </c>
      <c r="E7" s="10">
        <f>Assumptions!B7</f>
        <v>0.20400026493499818</v>
      </c>
      <c r="F7" s="10">
        <f>Assumptions!B7</f>
        <v>0.20400026493499818</v>
      </c>
    </row>
    <row r="8" spans="1:6" x14ac:dyDescent="0.25">
      <c r="A8" t="s">
        <v>44</v>
      </c>
      <c r="B8" s="18">
        <f>B6*B7</f>
        <v>2831244668.9207754</v>
      </c>
      <c r="C8" s="18">
        <f>C6*C7</f>
        <v>3210015827.950621</v>
      </c>
      <c r="D8" s="18">
        <f>D6*D7</f>
        <v>3639459962.1873393</v>
      </c>
      <c r="E8" s="18">
        <f>E6*E7</f>
        <v>4126356231.963236</v>
      </c>
      <c r="F8" s="18">
        <f>F6*F7</f>
        <v>4678390731.032689</v>
      </c>
    </row>
    <row r="9" spans="1:6" x14ac:dyDescent="0.25">
      <c r="A9" t="s">
        <v>45</v>
      </c>
      <c r="B9" s="18">
        <f>B8*(1-Assumptions!B8)</f>
        <v>2266259280.733206</v>
      </c>
      <c r="C9" s="18">
        <f>C8*(1-Assumptions!B8)</f>
        <v>2569445248.321329</v>
      </c>
      <c r="D9" s="18">
        <f>D8*(1-Assumptions!B8)</f>
        <v>2913192210.7275767</v>
      </c>
      <c r="E9" s="18">
        <f>E8*(1-Assumptions!B8)</f>
        <v>3302926521.66391</v>
      </c>
      <c r="F9" s="18">
        <f>F8*(1-Assumptions!B8)</f>
        <v>3744800486.331872</v>
      </c>
    </row>
    <row r="10" spans="1:6" x14ac:dyDescent="0.25">
      <c r="A10" t="s">
        <v>46</v>
      </c>
      <c r="B10" s="18">
        <f>B6*Assumptions!B9</f>
        <v>69169826.02170548</v>
      </c>
      <c r="C10" s="18">
        <f>C6*Assumptions!B9</f>
        <v>78423542.40296088</v>
      </c>
      <c r="D10" s="18">
        <f>D6*Assumptions!B9</f>
        <v>88915244.6487151</v>
      </c>
      <c r="E10" s="18">
        <f>E6*Assumptions!B9</f>
        <v>100810553.67683022</v>
      </c>
      <c r="F10" s="18">
        <f>F6*Assumptions!B9</f>
        <v>114297247.59550473</v>
      </c>
    </row>
    <row r="11" spans="1:6" x14ac:dyDescent="0.25">
      <c r="A11" t="s">
        <v>47</v>
      </c>
      <c r="B11" s="18">
        <f>-B6*Assumptions!B10</f>
        <v>-138786323.1365367</v>
      </c>
      <c r="C11" s="18">
        <f>-C6*Assumptions!B10</f>
        <v>-157353512.7012432</v>
      </c>
      <c r="D11" s="18">
        <f>-D6*Assumptions!B10</f>
        <v>-178404668.41290635</v>
      </c>
      <c r="E11" s="18">
        <f>-E6*Assumptions!B10</f>
        <v>-202272101.62094846</v>
      </c>
      <c r="F11" s="18">
        <f>-F6*Assumptions!B10</f>
        <v>-229332581.13774475</v>
      </c>
    </row>
    <row r="12" spans="1:6" x14ac:dyDescent="0.25">
      <c r="A12" t="s">
        <v>48</v>
      </c>
      <c r="B12" s="18">
        <f>-(B6-Assumptions!B29)*Assumptions!B11</f>
        <v>-92591869.21079819</v>
      </c>
      <c r="C12" s="18">
        <f>-(C6-B6)*Assumptions!B11</f>
        <v>-104979046.48399454</v>
      </c>
      <c r="D12" s="18">
        <f>-(D6-C6)*Assumptions!B11</f>
        <v>-119023412.04062709</v>
      </c>
      <c r="E12" s="18">
        <f>-(E6-D6)*Assumptions!B11</f>
        <v>-134946668.77120852</v>
      </c>
      <c r="F12" s="18">
        <f>-(F6-E6)*Assumptions!B11</f>
        <v>-153000179.54644322</v>
      </c>
    </row>
    <row r="13" spans="1:6" x14ac:dyDescent="0.25">
      <c r="A13" s="19" t="s">
        <v>49</v>
      </c>
      <c r="B13" s="20">
        <f>B9+B10+B11+B12</f>
        <v>2104050914.4075766</v>
      </c>
      <c r="C13" s="20">
        <f>C9+C10+C11+C12</f>
        <v>2385536231.539052</v>
      </c>
      <c r="D13" s="20">
        <f>D9+D10+D11+D12</f>
        <v>2704679374.9227586</v>
      </c>
      <c r="E13" s="20">
        <f>E9+E10+E11+E12</f>
        <v>3066518304.9485836</v>
      </c>
      <c r="F13" s="20">
        <f>F9+F10+F11+F12</f>
        <v>3476764973.243189</v>
      </c>
    </row>
    <row r="14" spans="1:6" x14ac:dyDescent="0.25">
      <c r="A14" t="s">
        <v>50</v>
      </c>
      <c r="B14" s="21">
        <f>1/(1+Assumptions!$B$26)^(1-0.5*Assumptions!$B$32)</f>
        <v>0.9492452470504644</v>
      </c>
      <c r="C14" s="21">
        <f>1/(1+Assumptions!$B$26)^(2-0.5*Assumptions!$B$32)</f>
        <v>0.8553331294674283</v>
      </c>
      <c r="D14" s="21">
        <f>1/(1+Assumptions!$B$26)^(3-0.5*Assumptions!$B$32)</f>
        <v>0.7707120627022228</v>
      </c>
      <c r="E14" s="21">
        <f>1/(1+Assumptions!$B$26)^(4-0.5*Assumptions!$B$32)</f>
        <v>0.6944628509415579</v>
      </c>
      <c r="F14" s="21">
        <f>1/(1+Assumptions!$B$26)^(5-0.5*Assumptions!$B$32)</f>
        <v>0.6257572375952455</v>
      </c>
    </row>
    <row r="15" spans="1:6" x14ac:dyDescent="0.25">
      <c r="A15" s="19" t="s">
        <v>51</v>
      </c>
      <c r="B15" s="20">
        <f>B13*B14</f>
        <v>1997260330.0535755</v>
      </c>
      <c r="C15" s="20">
        <f>C13*C14</f>
        <v>2040428170.380233</v>
      </c>
      <c r="D15" s="20">
        <f>D13*D14</f>
        <v>2084529019.9948778</v>
      </c>
      <c r="E15" s="20">
        <f>E13*E14</f>
        <v>2129583044.519067</v>
      </c>
      <c r="F15" s="20">
        <f>F13*F14</f>
        <v>2175610845.4245653</v>
      </c>
    </row>
    <row r="17" spans="1:2" x14ac:dyDescent="0.25">
      <c r="A17" s="22" t="s">
        <v>52</v>
      </c>
      <c r="B17" s="23">
        <f>SUM(B15:F15)</f>
        <v>10427411410.372318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3476764973.243189</v>
      </c>
    </row>
    <row r="5" spans="1:2" x14ac:dyDescent="0.25">
      <c r="A5" t="s">
        <v>56</v>
      </c>
      <c r="B5" s="18">
        <f>IF(Assumptions!$B$33=0,B4,B4-Forecast!F11-Forecast!F10-Forecast!F12)</f>
        <v>3744800486.331872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0.1262492753790669</v>
      </c>
    </row>
    <row r="7" spans="1:2" x14ac:dyDescent="0.25">
      <c r="A7" t="s">
        <v>58</v>
      </c>
      <c r="B7" s="18">
        <f>-MAX(Forecast!F9,0)*B6</f>
        <v>-472778347.8385762</v>
      </c>
    </row>
    <row r="8" spans="1:2" x14ac:dyDescent="0.25">
      <c r="A8" t="s">
        <v>59</v>
      </c>
      <c r="B8" s="18">
        <f>IF(OR(Assumptions!$B$33=0,Assumptions!B12&lt;=0),B5,MAX(B5+B7,0))</f>
        <v>3272022138.4932957</v>
      </c>
    </row>
    <row r="9" spans="1:2" x14ac:dyDescent="0.25">
      <c r="A9" t="s">
        <v>60</v>
      </c>
      <c r="B9" s="18">
        <f>B8*(1+Assumptions!B12)/(Assumptions!B26-Assumptions!B12)</f>
        <v>39551682644.12271</v>
      </c>
    </row>
    <row r="10" spans="1:2" x14ac:dyDescent="0.25">
      <c r="A10" t="s">
        <v>61</v>
      </c>
      <c r="B10" s="18">
        <f>B9/(1+Assumptions!B26)^(5-0.5*Assumptions!B32)</f>
        <v>24749751673.630043</v>
      </c>
    </row>
    <row r="11" spans="1:2" x14ac:dyDescent="0.25">
      <c r="A11" t="s">
        <v>62</v>
      </c>
      <c r="B11" s="18">
        <f>Forecast!B17+B10</f>
        <v>35177163084.002365</v>
      </c>
    </row>
    <row r="12" spans="1:2" x14ac:dyDescent="0.25">
      <c r="A12" t="s">
        <v>63</v>
      </c>
      <c r="B12" s="18">
        <f>-Assumptions!B30</f>
        <v>8947000000</v>
      </c>
    </row>
    <row r="13" spans="1:2" x14ac:dyDescent="0.25">
      <c r="A13" t="s">
        <v>64</v>
      </c>
      <c r="B13" s="18">
        <f>B11+B12</f>
        <v>44124163084.002365</v>
      </c>
    </row>
    <row r="14" spans="1:2" x14ac:dyDescent="0.25">
      <c r="A14" s="19" t="s">
        <v>65</v>
      </c>
      <c r="B14" s="24">
        <f>B13/Assumptions!B31</f>
        <v>70.82530190048534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4792687978.628194</v>
      </c>
    </row>
    <row r="18" spans="1:2" x14ac:dyDescent="0.25">
      <c r="A18" t="s">
        <v>60</v>
      </c>
      <c r="B18" s="18">
        <f>B17*Assumptions!B13</f>
        <v>95853759572.56387</v>
      </c>
    </row>
    <row r="19" spans="1:2" x14ac:dyDescent="0.25">
      <c r="A19" t="s">
        <v>61</v>
      </c>
      <c r="B19" s="18">
        <f>B18/(1+Assumptions!B26)^(5-0.5*Assumptions!B32)</f>
        <v>59981183803.24639</v>
      </c>
    </row>
    <row r="20" spans="1:2" x14ac:dyDescent="0.25">
      <c r="A20" t="s">
        <v>62</v>
      </c>
      <c r="B20" s="18">
        <f>Forecast!B17+B19</f>
        <v>70408595213.61871</v>
      </c>
    </row>
    <row r="21" spans="1:2" x14ac:dyDescent="0.25">
      <c r="A21" t="s">
        <v>63</v>
      </c>
      <c r="B21" s="18">
        <f>-Assumptions!B30</f>
        <v>8947000000</v>
      </c>
    </row>
    <row r="22" spans="1:2" x14ac:dyDescent="0.25">
      <c r="A22" t="s">
        <v>64</v>
      </c>
      <c r="B22" s="18">
        <f>B20+B21</f>
        <v>79355595213.61871</v>
      </c>
    </row>
    <row r="23" spans="1:2" x14ac:dyDescent="0.25">
      <c r="A23" s="19" t="s">
        <v>65</v>
      </c>
      <c r="B23" s="25">
        <f>B22/Assumptions!B31</f>
        <v>127.37655732523068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166.22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70.82530190048534</v>
      </c>
    </row>
    <row r="29" spans="1:2" x14ac:dyDescent="0.25">
      <c r="A29" s="19" t="s">
        <v>73</v>
      </c>
      <c r="B29" s="12">
        <f>B28/B26-1</f>
        <v>-0.573906257366831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0.089796</v>
      </c>
      <c r="B5" s="31">
        <v>83.09586632229073</v>
      </c>
      <c r="C5" s="31">
        <v>85.52761918116111</v>
      </c>
      <c r="D5" s="31">
        <v>88.31875835734013</v>
      </c>
      <c r="E5" s="31">
        <v>91.55943695069452</v>
      </c>
      <c r="F5" s="31">
        <v>95.37271305410749</v>
      </c>
    </row>
    <row r="6" spans="1:6" x14ac:dyDescent="0.25">
      <c r="A6" s="30">
        <v>0.099796</v>
      </c>
      <c r="B6" s="31">
        <v>74.83240671170061</v>
      </c>
      <c r="C6" s="31">
        <v>76.51065715601067</v>
      </c>
      <c r="D6" s="31">
        <v>78.40005899642891</v>
      </c>
      <c r="E6" s="31">
        <v>80.54599120799153</v>
      </c>
      <c r="F6" s="31">
        <v>83.00783948683976</v>
      </c>
    </row>
    <row r="7" spans="1:6" x14ac:dyDescent="0.25">
      <c r="A7" s="30">
        <v>0.109796</v>
      </c>
      <c r="B7" s="31">
        <v>68.3216371641169</v>
      </c>
      <c r="C7" s="31">
        <v>69.50903935180663</v>
      </c>
      <c r="D7" s="32">
        <v>70.82527167965603</v>
      </c>
      <c r="E7" s="31">
        <v>72.29455155332951</v>
      </c>
      <c r="F7" s="31">
        <v>73.94757196693584</v>
      </c>
    </row>
    <row r="8" spans="1:6" x14ac:dyDescent="0.25">
      <c r="A8" s="30">
        <v>0.119796</v>
      </c>
      <c r="B8" s="31">
        <v>63.061435748813416</v>
      </c>
      <c r="C8" s="31">
        <v>63.91666542426485</v>
      </c>
      <c r="D8" s="31">
        <v>64.8524905848821</v>
      </c>
      <c r="E8" s="31">
        <v>65.88237432787986</v>
      </c>
      <c r="F8" s="31">
        <v>67.02295515903317</v>
      </c>
    </row>
    <row r="9" spans="1:6" x14ac:dyDescent="0.25">
      <c r="A9" s="30">
        <v>0.129796</v>
      </c>
      <c r="B9" s="31">
        <v>58.72466026028872</v>
      </c>
      <c r="C9" s="31">
        <v>59.34825584795845</v>
      </c>
      <c r="D9" s="31">
        <v>60.02299424554571</v>
      </c>
      <c r="E9" s="31">
        <v>60.75656255622865</v>
      </c>
      <c r="F9" s="31">
        <v>61.55826970334192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12241000000</v>
      </c>
      <c r="C5" s="18">
        <v>11102000000</v>
      </c>
      <c r="D5" s="18">
        <v>9917000000</v>
      </c>
      <c r="E5" s="18">
        <v>8399000000</v>
      </c>
      <c r="F5" s="8" t="s">
        <v>84</v>
      </c>
    </row>
    <row r="6" spans="1:6" x14ac:dyDescent="0.25">
      <c r="A6" t="s">
        <v>44</v>
      </c>
      <c r="B6" s="18">
        <v>2544000000</v>
      </c>
      <c r="C6" s="18">
        <v>2553000000</v>
      </c>
      <c r="D6" s="18">
        <v>1518000000</v>
      </c>
      <c r="E6" s="18">
        <v>1891000000</v>
      </c>
      <c r="F6" s="8" t="s">
        <v>85</v>
      </c>
    </row>
    <row r="7" spans="1:6" x14ac:dyDescent="0.25">
      <c r="A7" t="s">
        <v>86</v>
      </c>
      <c r="B7" s="18">
        <v>0</v>
      </c>
      <c r="C7" s="18">
        <v>65000000</v>
      </c>
      <c r="D7" s="18">
        <v>44000000</v>
      </c>
      <c r="E7" s="18">
        <v>81000000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25000000</v>
      </c>
      <c r="F8" s="8" t="s">
        <v>87</v>
      </c>
    </row>
    <row r="9" spans="1:6" x14ac:dyDescent="0.25">
      <c r="A9" t="s">
        <v>89</v>
      </c>
      <c r="B9" s="18">
        <v>106000000</v>
      </c>
      <c r="C9" s="18">
        <v>67000000</v>
      </c>
      <c r="D9" s="18">
        <v>-720000000</v>
      </c>
      <c r="E9" s="18">
        <v>-319000000</v>
      </c>
      <c r="F9" s="8" t="s">
        <v>90</v>
      </c>
    </row>
    <row r="10" spans="1:6" x14ac:dyDescent="0.25">
      <c r="A10" t="s">
        <v>91</v>
      </c>
      <c r="B10" s="18">
        <v>2067000000</v>
      </c>
      <c r="C10" s="18">
        <v>2058000000</v>
      </c>
      <c r="D10" s="18">
        <v>2304000000</v>
      </c>
      <c r="E10" s="18">
        <v>2341000000</v>
      </c>
      <c r="F10" s="8" t="s">
        <v>92</v>
      </c>
    </row>
    <row r="11" spans="1:6" x14ac:dyDescent="0.25">
      <c r="A11" t="s">
        <v>93</v>
      </c>
      <c r="B11" s="18">
        <v>11014000000</v>
      </c>
      <c r="C11" s="18">
        <v>10611000000</v>
      </c>
      <c r="D11" s="18">
        <v>10071000000</v>
      </c>
      <c r="E11" s="18">
        <v>9622000000</v>
      </c>
      <c r="F11" s="8" t="s">
        <v>94</v>
      </c>
    </row>
    <row r="12" spans="1:6" x14ac:dyDescent="0.25">
      <c r="A12" t="s">
        <v>32</v>
      </c>
      <c r="B12" s="34">
        <v>623000000</v>
      </c>
      <c r="C12" s="34">
        <v>645000000</v>
      </c>
      <c r="D12" s="34">
        <v>662000000</v>
      </c>
      <c r="E12" s="34">
        <v>680000000</v>
      </c>
      <c r="F12" s="8" t="s">
        <v>95</v>
      </c>
    </row>
    <row r="15" spans="1:1" x14ac:dyDescent="0.25">
      <c r="A15" s="19" t="s">
        <v>96</v>
      </c>
    </row>
    <row r="16" ht="22" customHeight="1" spans="1:6" x14ac:dyDescent="0.25">
      <c r="A16" s="35" t="s">
        <v>97</v>
      </c>
      <c r="B16" s="35"/>
      <c r="C16" s="35"/>
      <c r="D16" s="35"/>
      <c r="E16" s="35"/>
      <c r="F16" s="35"/>
    </row>
    <row r="17" ht="86" customHeight="1" spans="1:6" x14ac:dyDescent="0.25">
      <c r="A17" s="35" t="s">
        <v>98</v>
      </c>
      <c r="B17" s="35"/>
      <c r="C17" s="35"/>
      <c r="D17" s="35"/>
      <c r="E17" s="35"/>
      <c r="F17" s="35"/>
    </row>
    <row r="18" ht="54" customHeight="1" spans="1:6" x14ac:dyDescent="0.25">
      <c r="A18" s="35" t="s">
        <v>99</v>
      </c>
      <c r="B18" s="35"/>
      <c r="C18" s="35"/>
      <c r="D18" s="35"/>
      <c r="E18" s="35"/>
      <c r="F18" s="35"/>
    </row>
    <row r="19" ht="38" customHeight="1" spans="1:6" x14ac:dyDescent="0.25">
      <c r="A19" s="35" t="s">
        <v>100</v>
      </c>
      <c r="B19" s="35"/>
      <c r="C19" s="35"/>
      <c r="D19" s="35"/>
      <c r="E19" s="35"/>
      <c r="F19" s="35"/>
    </row>
    <row r="21" spans="1:1" x14ac:dyDescent="0.25">
      <c r="A21" s="36" t="s">
        <v>101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2026-09-19T00:06:57Z</dcterms:modified>
</cp:coreProperties>
</file>