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<sst xmlns="http://schemas.openxmlformats.org/spreadsheetml/2006/main" count="123" uniqueCount="109">
  <si>
    <t>Airbnb, Inc. (ABNB)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</si>
  <si>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</si>
  <si>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</si>
  <si>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</si>
  <si>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</si>
  <si>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</si>
  <si>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</si>
  <si>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</si>
  <si>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</si>
  <si>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</si>
  <si>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</si>
  <si>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</si>
  <si>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</si>
  <si>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</si>
  <si>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</si>
  <si>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</si>
  <si>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</si>
  <si>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</si>
  <si>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</si>
  <si>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</si>
  <si>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</si>
  <si>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</si>
  <si>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</si>
  <si>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</si>
  <si>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</si>
  <si>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</si>
  <si>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</si>
  <si>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</si>
  <si>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</si>
  <si>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</si>
  <si>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</si>
  <si>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</si>
  <si>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</si>
  <si>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</si>
  <si>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</si>
  <si>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</si>
  <si>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</si>
  <si>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</si>
  <si>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</si>
  <si>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</si>
  <si>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</si>
  <si>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</si>
  <si>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</si>
  <si>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</si>
  <si>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</si>
  <si>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</si>
  <si>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</si>
  <si>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</si>
  <si>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</si>
  <si>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</si>
  <si>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</si>
  <si>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</si>
  <si>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</si>
  <si>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</si>
  <si>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</si>
  <si>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</si>
  <si>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</si>
  <si>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</si>
  <si>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</si>
  <si>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</si>
  <si>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</si>
  <si>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</si>
  <si>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</si>
  <si>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</si>
  <si>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</si>
  <si>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</si>
  <si>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</si>
  <si>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</si>
  <si>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</si>
  <si>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</si>
  <si>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</si>
  <si>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</si>
  <si>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</si>
  <si>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</si>
  <si>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</si>
  <si>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</si>
  <si>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</si>
  <si>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</si>
  <si>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</si>
  <si>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</si>
  <si>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</si>
  <si>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</si>
  <si>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</si>
  <si>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</si>
  <si>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</si>
  <si>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</si>
  <si>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</si>
  <si>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</si>
  <si>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</si>
  <si>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</si>
  <si>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</si>
  <si>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</si>
  <si>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</si>
  <si>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</si>
  <si>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</si>
  <si>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</si>
  <si>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</si>
  <si>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</si>
  <si>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</si>
  <si>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</si>
  <si>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</si>
  <si>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</si>
  <si>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</si>
  <si>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</si>
  <si>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</si>
  <si>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0.07%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</si>
  <si>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</si>
  <si>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35.2x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</si>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</sst>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0.1583175729107098</v>
      </c>
    </row>
    <row r="7" spans="1:2" x14ac:dyDescent="0.25">
      <c r="A7" t="s">
        <v>4</v>
      </c>
      <c r="B7" s="5">
        <v>0.20400026493499818</v>
      </c>
    </row>
    <row r="8" spans="1:2" x14ac:dyDescent="0.25">
      <c r="A8" t="s">
        <v>5</v>
      </c>
      <c r="B8" s="5">
        <v>0.1995537137392413</v>
      </c>
    </row>
    <row r="9" spans="1:2" x14ac:dyDescent="0.25">
      <c r="A9" t="s">
        <v>6</v>
      </c>
      <c r="B9" s="5">
        <v>0.004983907957101569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0.0034519669444463266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0.19802093853558222</v>
      </c>
      <c r="C14" s="6" t="s">
        <v>13</v>
      </c>
    </row>
    <row r="15" spans="1:3" x14ac:dyDescent="0.25">
      <c r="A15" t="s">
        <v>14</v>
      </c>
      <c r="B15" s="5">
        <v>0.004983907957101569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1.1634799999999998</v>
      </c>
      <c r="C19" s="6" t="s">
        <v>21</v>
      </c>
    </row>
    <row r="20" spans="1:2" x14ac:dyDescent="0.25">
      <c r="A20" t="s">
        <v>22</v>
      </c>
      <c r="B20" s="9">
        <f>B17+B19*B18</f>
        <v>0.098155204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98434375680</v>
      </c>
    </row>
    <row r="23" spans="1:2" x14ac:dyDescent="0.25">
      <c r="A23" t="s">
        <v>26</v>
      </c>
      <c r="B23" s="10">
        <v>2067000000</v>
      </c>
    </row>
    <row r="24" spans="1:2" x14ac:dyDescent="0.25">
      <c r="A24" t="s">
        <v>27</v>
      </c>
      <c r="B24" s="9">
        <f>B22/(B22+B23)</f>
        <v>0.9794331173477525</v>
      </c>
    </row>
    <row r="25" spans="1:2" x14ac:dyDescent="0.25">
      <c r="A25" t="s">
        <v>28</v>
      </c>
      <c r="B25" s="9">
        <f>1-B24</f>
        <v>0.020566882652247487</v>
      </c>
    </row>
    <row r="26" spans="1:2" x14ac:dyDescent="0.25">
      <c r="A26" t="s">
        <v>29</v>
      </c>
      <c r="B26" s="11">
        <f>B24*B20+B25*B21*(1-B8)</f>
        <v>0.09727139493042196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12241000000</v>
      </c>
      <c r="C29" s="6" t="s">
        <v>32</v>
      </c>
    </row>
    <row r="30" spans="1:2" x14ac:dyDescent="0.25">
      <c r="A30" t="s">
        <v>33</v>
      </c>
      <c r="B30" s="10">
        <v>-8947000000</v>
      </c>
    </row>
    <row r="31" spans="1:2" x14ac:dyDescent="0.25">
      <c r="A31" t="s">
        <v>34</v>
      </c>
      <c r="B31" s="12">
        <v>623000000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0.1583175729107098</v>
      </c>
      <c r="C5" s="5">
        <v>0.11564751042015553</v>
      </c>
      <c r="D5" s="5">
        <v>0.10431657161763609</v>
      </c>
      <c r="E5" s="5">
        <v>0.09298563281511665</v>
      </c>
      <c r="F5" s="5">
        <v>0.0816546940125972</v>
      </c>
      <c r="G5" s="5">
        <v>0.07032375521007776</v>
      </c>
      <c r="H5" s="5">
        <v>0.058992816407558324</v>
      </c>
      <c r="I5" s="5">
        <v>0.04766187760503887</v>
      </c>
      <c r="J5" s="5">
        <v>0.03633093880251943</v>
      </c>
      <c r="K5" s="5">
        <v>0.024999999999999994</v>
      </c>
    </row>
    <row r="6" spans="1:11" x14ac:dyDescent="0.25">
      <c r="A6" t="s">
        <v>50</v>
      </c>
      <c r="B6" s="18">
        <f>Assumptions!B29*(1+B5)</f>
        <v>14178965409.999998</v>
      </c>
      <c r="C6" s="18">
        <f>B6*(1+C5)</f>
        <v>15818727459.999998</v>
      </c>
      <c r="D6" s="18">
        <f>C6*(1+D5)</f>
        <v>17468882875.980957</v>
      </c>
      <c r="E6" s="18">
        <f>D6*(1+E5)</f>
        <v>19093238004.777203</v>
      </c>
      <c r="F6" s="18">
        <f>E6*(1+F5)</f>
        <v>20652290511.76698</v>
      </c>
      <c r="G6" s="18">
        <f>F6*(1+G5)</f>
        <v>22104637134.243893</v>
      </c>
      <c r="H6" s="18">
        <f>G6*(1+H5)</f>
        <v>23408651934.46004</v>
      </c>
      <c r="I6" s="18">
        <f>H6*(1+I5)</f>
        <v>24524352237.85923</v>
      </c>
      <c r="J6" s="18">
        <f>I6*(1+J5)</f>
        <v>25415344978.184326</v>
      </c>
      <c r="K6" s="18">
        <f>J6*(1+K5)</f>
        <v>26050728602.63893</v>
      </c>
    </row>
    <row r="7" spans="1:11" x14ac:dyDescent="0.25">
      <c r="A7" t="s">
        <v>4</v>
      </c>
      <c r="B7" s="9">
        <f>Assumptions!B7</f>
        <v>0.20400026493499818</v>
      </c>
      <c r="C7" s="9">
        <f>Assumptions!B7</f>
        <v>0.20400026493499818</v>
      </c>
      <c r="D7" s="9">
        <f>Assumptions!B7</f>
        <v>0.20400026493499818</v>
      </c>
      <c r="E7" s="9">
        <f>Assumptions!B7</f>
        <v>0.20400026493499818</v>
      </c>
      <c r="F7" s="9">
        <f>Assumptions!B7</f>
        <v>0.20400026493499818</v>
      </c>
      <c r="G7" s="9">
        <f>Assumptions!B7</f>
        <v>0.20400026493499818</v>
      </c>
      <c r="H7" s="9">
        <f>Assumptions!B7</f>
        <v>0.20400026493499818</v>
      </c>
      <c r="I7" s="9">
        <f>Assumptions!B7</f>
        <v>0.20400026493499818</v>
      </c>
      <c r="J7" s="9">
        <f>Assumptions!B7</f>
        <v>0.20400026493499818</v>
      </c>
      <c r="K7" s="9">
        <f>Assumptions!B7</f>
        <v>0.20400026493499818</v>
      </c>
    </row>
    <row r="8" spans="1:11" x14ac:dyDescent="0.25">
      <c r="A8" t="s">
        <v>51</v>
      </c>
      <c r="B8" s="18">
        <f>B6*B7</f>
        <v>2892512700.1441746</v>
      </c>
      <c r="C8" s="18">
        <f>C6*C7</f>
        <v>3227024592.7745304</v>
      </c>
      <c r="D8" s="18">
        <f>D6*D7</f>
        <v>3563656734.818568</v>
      </c>
      <c r="E8" s="18">
        <f>E6*E7</f>
        <v>3895025611.4415255</v>
      </c>
      <c r="F8" s="18">
        <f>F6*F7</f>
        <v>4213072735.915013</v>
      </c>
      <c r="G8" s="18">
        <f>G6*G7</f>
        <v>4509351831.6777525</v>
      </c>
      <c r="H8" s="18">
        <f>H6*H7</f>
        <v>4775371196.401006</v>
      </c>
      <c r="I8" s="18">
        <f>I6*I7</f>
        <v>5002974353.882499</v>
      </c>
      <c r="J8" s="18">
        <f>J6*J7</f>
        <v>5184737108.963978</v>
      </c>
      <c r="K8" s="18">
        <f>K6*K7</f>
        <v>5314355536.688077</v>
      </c>
    </row>
    <row r="9" spans="1:11" x14ac:dyDescent="0.25">
      <c r="A9" t="s">
        <v>52</v>
      </c>
      <c r="B9" s="18">
        <f>B8*(1-Assumptions!B8)</f>
        <v>2315301048.792484</v>
      </c>
      <c r="C9" s="18">
        <f>C8*(1-Assumptions!B8)</f>
        <v>2583059850.95851</v>
      </c>
      <c r="D9" s="18">
        <f>D8*(1-Assumptions!B8)</f>
        <v>2852515798.893664</v>
      </c>
      <c r="E9" s="18">
        <f>E8*(1-Assumptions!B8)</f>
        <v>3117758785.5689096</v>
      </c>
      <c r="F9" s="18">
        <f>F8*(1-Assumptions!B8)</f>
        <v>3372338425.209626</v>
      </c>
      <c r="G9" s="18">
        <f>G8*(1-Assumptions!B8)</f>
        <v>3609493927.1096067</v>
      </c>
      <c r="H9" s="18">
        <f>H8*(1-Assumptions!B8)</f>
        <v>3822428139.675781</v>
      </c>
      <c r="I9" s="18">
        <f>I8*(1-Assumptions!B8)</f>
        <v>4004612241.823065</v>
      </c>
      <c r="J9" s="18">
        <f>J8*(1-Assumptions!B8)</f>
        <v>4150103564.108558</v>
      </c>
      <c r="K9" s="18">
        <f>K8*(1-Assumptions!B8)</f>
        <v>4253856153.2112722</v>
      </c>
    </row>
    <row r="10" spans="1:11" x14ac:dyDescent="0.25">
      <c r="A10" t="s">
        <v>53</v>
      </c>
      <c r="B10" s="18">
        <f>B6*Assumptions!B9</f>
        <v>70666658.5303669</v>
      </c>
      <c r="C10" s="18">
        <f>C6*Assumptions!B9</f>
        <v>78839081.65911509</v>
      </c>
      <c r="D10" s="18">
        <f>D6*Assumptions!B9</f>
        <v>87063304.36727683</v>
      </c>
      <c r="E10" s="18">
        <f>E6*Assumptions!B9</f>
        <v>95158940.81884319</v>
      </c>
      <c r="F10" s="18">
        <f>F6*Assumptions!B9</f>
        <v>102929115.01396869</v>
      </c>
      <c r="G10" s="18">
        <f>G6*Assumptions!B9</f>
        <v>110167476.90220097</v>
      </c>
      <c r="H10" s="18">
        <f>H6*Assumptions!B9</f>
        <v>116666566.64117643</v>
      </c>
      <c r="I10" s="18">
        <f>I6*Assumptions!B9</f>
        <v>122227114.26102829</v>
      </c>
      <c r="J10" s="18">
        <f>J6*Assumptions!B9</f>
        <v>126667740.06925426</v>
      </c>
      <c r="K10" s="18">
        <f>K6*Assumptions!B9</f>
        <v>129834433.57098562</v>
      </c>
    </row>
    <row r="11" spans="1:11" x14ac:dyDescent="0.25">
      <c r="A11" t="s">
        <v>54</v>
      </c>
      <c r="B11" s="18">
        <f>-B6*B19</f>
        <v>-141789654.1</v>
      </c>
      <c r="C11" s="18">
        <f>-C6*C19</f>
        <v>-185605190.3225986</v>
      </c>
      <c r="D11" s="18">
        <f>-D6*D19</f>
        <v>-235244946.14317235</v>
      </c>
      <c r="E11" s="18">
        <f>-E6*E19</f>
        <v>-290212829.4663939</v>
      </c>
      <c r="F11" s="18">
        <f>-F6*F19</f>
        <v>-349705790.63411325</v>
      </c>
      <c r="G11" s="18">
        <f>-G6*G19</f>
        <v>-412611425.97715694</v>
      </c>
      <c r="H11" s="18">
        <f>-H6*H19</f>
        <v>-477525739.4240658</v>
      </c>
      <c r="I11" s="18">
        <f>-I6*I19</f>
        <v>-542792511.1682777</v>
      </c>
      <c r="J11" s="18">
        <f>-J6*J19</f>
        <v>-606563990.2300205</v>
      </c>
      <c r="K11" s="18">
        <f>-K6*K19</f>
        <v>-666880690.4806937</v>
      </c>
    </row>
    <row r="12" spans="1:11" x14ac:dyDescent="0.25">
      <c r="A12" t="s">
        <v>55</v>
      </c>
      <c r="B12" s="18">
        <f>-(B6-Assumptions!B29)*Assumptions!B11</f>
        <v>-6689792.534800366</v>
      </c>
      <c r="C12" s="18">
        <f>-(C6-B6)*Assumptions!B11</f>
        <v>-5660404.393357544</v>
      </c>
      <c r="D12" s="18">
        <f>-(D6-C6)*Assumptions!B11</f>
        <v>-5696281.949165348</v>
      </c>
      <c r="E12" s="18">
        <f>-(E6-D6)*Assumptions!B11</f>
        <v>-5607220.210646495</v>
      </c>
      <c r="F12" s="18">
        <f>-(F6-E6)*Assumptions!B11</f>
        <v>-5381797.718784885</v>
      </c>
      <c r="G12" s="18">
        <f>-(G6-F6)*Assumptions!B11</f>
        <v>-5013452.532668574</v>
      </c>
      <c r="H12" s="18">
        <f>-(H6-G6)*Assumptions!B11</f>
        <v>-4501415.985414925</v>
      </c>
      <c r="I12" s="18">
        <f>-(I6-H6)*Assumptions!B11</f>
        <v>-3851360.567242738</v>
      </c>
      <c r="J12" s="18">
        <f>-(J6-I6)*Assumptions!B11</f>
        <v>-3075677.4873438813</v>
      </c>
      <c r="K12" s="18">
        <f>-(K6-J6)*Assumptions!B11</f>
        <v>-2193323.2686597956</v>
      </c>
    </row>
    <row r="13" spans="1:11" x14ac:dyDescent="0.25">
      <c r="A13" s="19" t="s">
        <v>56</v>
      </c>
      <c r="B13" s="20">
        <f>B9+B10+B11+B12</f>
        <v>2237488260.6880503</v>
      </c>
      <c r="C13" s="20">
        <f>C9+C10+C11+C12</f>
        <v>2470633337.901669</v>
      </c>
      <c r="D13" s="20">
        <f>D9+D10+D11+D12</f>
        <v>2698637875.168603</v>
      </c>
      <c r="E13" s="20">
        <f>E9+E10+E11+E12</f>
        <v>2917097676.7107124</v>
      </c>
      <c r="F13" s="20">
        <f>F9+F10+F11+F12</f>
        <v>3120179951.8706965</v>
      </c>
      <c r="G13" s="20">
        <f>G9+G10+G11+G12</f>
        <v>3302036525.501982</v>
      </c>
      <c r="H13" s="20">
        <f>H9+H10+H11+H12</f>
        <v>3457067550.907476</v>
      </c>
      <c r="I13" s="20">
        <f>I9+I10+I11+I12</f>
        <v>3580195484.3485727</v>
      </c>
      <c r="J13" s="20">
        <f>J9+J10+J11+J12</f>
        <v>3667131636.4604483</v>
      </c>
      <c r="K13" s="20">
        <f>K9+K10+K11+K12</f>
        <v>3714616573.0329046</v>
      </c>
    </row>
    <row r="14" spans="1:11" x14ac:dyDescent="0.25">
      <c r="A14" t="s">
        <v>57</v>
      </c>
      <c r="B14" s="21">
        <f>1/(1+Assumptions!$B$26)^(1-0.5*Assumptions!$B$32)</f>
        <v>0.9546473496880062</v>
      </c>
      <c r="C14" s="21">
        <f>1/(1+Assumptions!$B$26)^(2-0.5*Assumptions!$B$32)</f>
        <v>0.87001935355158</v>
      </c>
      <c r="D14" s="21">
        <f>1/(1+Assumptions!$B$26)^(3-0.5*Assumptions!$B$32)</f>
        <v>0.7928934970611786</v>
      </c>
      <c r="E14" s="21">
        <f>1/(1+Assumptions!$B$26)^(4-0.5*Assumptions!$B$32)</f>
        <v>0.7226047272575223</v>
      </c>
      <c r="F14" s="21">
        <f>1/(1+Assumptions!$B$26)^(5-0.5*Assumptions!$B$32)</f>
        <v>0.6585469470871813</v>
      </c>
      <c r="G14" s="21">
        <f>1/(1+Assumptions!$B$26)^(6-0.5*Assumptions!$B$32)</f>
        <v>0.6001677890536277</v>
      </c>
      <c r="H14" s="21">
        <f>1/(1+Assumptions!$B$26)^(7-0.5*Assumptions!$B$32)</f>
        <v>0.5469638521759553</v>
      </c>
      <c r="I14" s="21">
        <f>1/(1+Assumptions!$B$26)^(8-0.5*Assumptions!$B$32)</f>
        <v>0.4984763611837693</v>
      </c>
      <c r="J14" s="21">
        <f>1/(1+Assumptions!$B$26)^(9-0.5*Assumptions!$B$32)</f>
        <v>0.45428721051766563</v>
      </c>
      <c r="K14" s="21">
        <f>1/(1+Assumptions!$B$26)^(10-0.5*Assumptions!$B$32)</f>
        <v>0.41401535902288966</v>
      </c>
    </row>
    <row r="15" spans="1:11" x14ac:dyDescent="0.25">
      <c r="A15" s="19" t="s">
        <v>58</v>
      </c>
      <c r="B15" s="20">
        <f>B13*B14</f>
        <v>2136012238.023874</v>
      </c>
      <c r="C15" s="20">
        <f>C13*C14</f>
        <v>2149498819.5041924</v>
      </c>
      <c r="D15" s="20">
        <f>D13*D14</f>
        <v>2139732422.144182</v>
      </c>
      <c r="E15" s="20">
        <f>E13*E14</f>
        <v>2107908571.0630965</v>
      </c>
      <c r="F15" s="20">
        <f>F13*F14</f>
        <v>2054784981.6670756</v>
      </c>
      <c r="G15" s="20">
        <f>G13*G14</f>
        <v>1981775960.8848474</v>
      </c>
      <c r="H15" s="20">
        <f>H13*H14</f>
        <v>1890890984.8768487</v>
      </c>
      <c r="I15" s="20">
        <f>I13*I14</f>
        <v>1784642817.364639</v>
      </c>
      <c r="J15" s="20">
        <f>J13*J14</f>
        <v>1665931001.7286992</v>
      </c>
      <c r="K15" s="20">
        <f>K13*K14</f>
        <v>1537908314.116594</v>
      </c>
    </row>
    <row r="17" spans="1:2" x14ac:dyDescent="0.25">
      <c r="A17" s="22" t="s">
        <v>59</v>
      </c>
      <c r="B17" s="23">
        <f>SUM(B15:K15)</f>
        <v>19449086111.37405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0.011733256723205384</v>
      </c>
      <c r="D19" s="9">
        <f>Assumptions!$B$10+($B$20-Assumptions!$B$10)*2/9</f>
        <v>0.013466513446410767</v>
      </c>
      <c r="E19" s="9">
        <f>Assumptions!$B$10+($B$20-Assumptions!$B$10)*3/9</f>
        <v>0.015199770169616149</v>
      </c>
      <c r="F19" s="9">
        <f>Assumptions!$B$10+($B$20-Assumptions!$B$10)*4/9</f>
        <v>0.016933026892821532</v>
      </c>
      <c r="G19" s="9">
        <f>Assumptions!$B$10+($B$20-Assumptions!$B$10)*5/9</f>
        <v>0.018666283616026916</v>
      </c>
      <c r="H19" s="9">
        <f>Assumptions!$B$10+($B$20-Assumptions!$B$10)*6/9</f>
        <v>0.0203995403392323</v>
      </c>
      <c r="I19" s="9">
        <f>Assumptions!$B$10+($B$20-Assumptions!$B$10)*7/9</f>
        <v>0.022132797062437683</v>
      </c>
      <c r="J19" s="9">
        <f>Assumptions!$B$10+($B$20-Assumptions!$B$10)*8/9</f>
        <v>0.023866053785643066</v>
      </c>
      <c r="K19" s="9">
        <f>Assumptions!$B$10+($B$20-Assumptions!$B$10)*9/9</f>
        <v>0.02559931050884845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0.02559931050884845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3714616573.0329046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4253856153.2112722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0.1262492753790669</v>
      </c>
    </row>
    <row r="7" spans="1:2" x14ac:dyDescent="0.25">
      <c r="A7" t="s">
        <v>66</v>
      </c>
      <c r="B7" s="18">
        <f>-MAX(B5,0)*B6</f>
        <v>-537046256.9097081</v>
      </c>
    </row>
    <row r="8" spans="1:2" x14ac:dyDescent="0.25">
      <c r="A8" t="s">
        <v>67</v>
      </c>
      <c r="B8" s="18">
        <f>IF(OR(Assumptions!$B$33=0,Assumptions!B12&lt;=0),B5,MAX(B5+B7,0))</f>
        <v>3716809896.301564</v>
      </c>
    </row>
    <row r="9" spans="1:2" x14ac:dyDescent="0.25">
      <c r="A9" t="s">
        <v>68</v>
      </c>
      <c r="B9" s="18">
        <f>B8*(1+Assumptions!B12)/(Assumptions!B26-Assumptions!B12)</f>
        <v>52714219054.120316</v>
      </c>
    </row>
    <row r="10" spans="1:2" x14ac:dyDescent="0.25">
      <c r="A10" t="s">
        <v>69</v>
      </c>
      <c r="B10" s="18">
        <f>B9/(1+Assumptions!B26)^(10-0.5*Assumptions!B32)</f>
        <v>21824496327.30287</v>
      </c>
    </row>
    <row r="11" spans="1:2" x14ac:dyDescent="0.25">
      <c r="A11" t="s">
        <v>70</v>
      </c>
      <c r="B11" s="18">
        <f>Forecast!B17+B10</f>
        <v>41273582438.676926</v>
      </c>
    </row>
    <row r="12" spans="1:2" x14ac:dyDescent="0.25">
      <c r="A12" t="s">
        <v>71</v>
      </c>
      <c r="B12" s="18">
        <f>-Assumptions!B30</f>
        <v>8947000000</v>
      </c>
    </row>
    <row r="13" spans="1:2" x14ac:dyDescent="0.25">
      <c r="A13" t="s">
        <v>72</v>
      </c>
      <c r="B13" s="18">
        <f>B11+B12</f>
        <v>50220582438.676926</v>
      </c>
    </row>
    <row r="14" spans="1:2" x14ac:dyDescent="0.25">
      <c r="A14" s="19" t="s">
        <v>73</v>
      </c>
      <c r="B14" s="24">
        <f>B13/Assumptions!B31</f>
        <v>80.61088673944931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5444189970.259063</v>
      </c>
    </row>
    <row r="18" spans="1:2" x14ac:dyDescent="0.25">
      <c r="A18" t="s">
        <v>68</v>
      </c>
      <c r="B18" s="18">
        <f>B17*Assumptions!B13</f>
        <v>108883799405.18126</v>
      </c>
    </row>
    <row r="19" spans="1:2" x14ac:dyDescent="0.25">
      <c r="A19" t="s">
        <v>69</v>
      </c>
      <c r="B19" s="18">
        <f>B18/(1+Assumptions!B26)^(10-0.5*Assumptions!B32)</f>
        <v>45079565302.51242</v>
      </c>
    </row>
    <row r="20" spans="1:2" x14ac:dyDescent="0.25">
      <c r="A20" t="s">
        <v>70</v>
      </c>
      <c r="B20" s="18">
        <f>Forecast!B17+B19</f>
        <v>64528651413.886475</v>
      </c>
    </row>
    <row r="21" spans="1:2" x14ac:dyDescent="0.25">
      <c r="A21" t="s">
        <v>71</v>
      </c>
      <c r="B21" s="18">
        <f>-Assumptions!B30</f>
        <v>8947000000</v>
      </c>
    </row>
    <row r="22" spans="1:2" x14ac:dyDescent="0.25">
      <c r="A22" t="s">
        <v>72</v>
      </c>
      <c r="B22" s="18">
        <f>B20+B21</f>
        <v>73475651413.88647</v>
      </c>
    </row>
    <row r="23" spans="1:2" x14ac:dyDescent="0.25">
      <c r="A23" s="19" t="s">
        <v>73</v>
      </c>
      <c r="B23" s="25">
        <f>B22/Assumptions!B31</f>
        <v>117.9384452871372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164.39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80.61088673944931</v>
      </c>
    </row>
    <row r="29" spans="1:2" x14ac:dyDescent="0.25">
      <c r="A29" s="19" t="s">
        <v>81</v>
      </c>
      <c r="B29" s="11">
        <f>B28/B26-1</f>
        <v>-0.5096363115794798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0.077271</v>
      </c>
      <c r="B5" s="31">
        <v>100.09471979526138</v>
      </c>
      <c r="C5" s="31">
        <v>102.81846646460797</v>
      </c>
      <c r="D5" s="31">
        <v>106.13540735449361</v>
      </c>
      <c r="E5" s="31">
        <v>110.23377443183429</v>
      </c>
      <c r="F5" s="31">
        <v>115.39085928688873</v>
      </c>
    </row>
    <row r="6" spans="1:6" x14ac:dyDescent="0.25">
      <c r="A6" s="30">
        <v>0.087271</v>
      </c>
      <c r="B6" s="31">
        <v>87.86374419374116</v>
      </c>
      <c r="C6" s="31">
        <v>89.43602196291688</v>
      </c>
      <c r="D6" s="31">
        <v>91.31800458489688</v>
      </c>
      <c r="E6" s="31">
        <v>93.59080768175976</v>
      </c>
      <c r="F6" s="31">
        <v>96.3665834435008</v>
      </c>
    </row>
    <row r="7" spans="1:6" x14ac:dyDescent="0.25">
      <c r="A7" s="30">
        <v>0.097271</v>
      </c>
      <c r="B7" s="31">
        <v>78.6310502153393</v>
      </c>
      <c r="C7" s="31">
        <v>79.53527433004885</v>
      </c>
      <c r="D7" s="32">
        <v>80.61125087820449</v>
      </c>
      <c r="E7" s="31">
        <v>81.89727699381184</v>
      </c>
      <c r="F7" s="31">
        <v>83.44394996151021</v>
      </c>
    </row>
    <row r="8" spans="1:6" x14ac:dyDescent="0.25">
      <c r="A8" s="30">
        <v>0.107271</v>
      </c>
      <c r="B8" s="31">
        <v>71.42035760010546</v>
      </c>
      <c r="C8" s="31">
        <v>71.9184027396626</v>
      </c>
      <c r="D8" s="31">
        <v>72.51577312730691</v>
      </c>
      <c r="E8" s="31">
        <v>73.23174997748251</v>
      </c>
      <c r="F8" s="31">
        <v>74.09095031414046</v>
      </c>
    </row>
    <row r="9" spans="1:6" x14ac:dyDescent="0.25">
      <c r="A9" s="30">
        <v>0.117271</v>
      </c>
      <c r="B9" s="31">
        <v>65.63732622936755</v>
      </c>
      <c r="C9" s="31">
        <v>65.88021770970529</v>
      </c>
      <c r="D9" s="31">
        <v>66.1822037168157</v>
      </c>
      <c r="E9" s="31">
        <v>66.5534413235133</v>
      </c>
      <c r="F9" s="31">
        <v>67.00655677712467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12241000000</v>
      </c>
      <c r="C5" s="18">
        <v>11102000000</v>
      </c>
      <c r="D5" s="18">
        <v>9917000000</v>
      </c>
      <c r="E5" s="18">
        <v>8399000000</v>
      </c>
      <c r="F5" s="6" t="s">
        <v>91</v>
      </c>
    </row>
    <row r="6" spans="1:6" x14ac:dyDescent="0.25">
      <c r="A6" t="s">
        <v>51</v>
      </c>
      <c r="B6" s="18">
        <v>2544000000</v>
      </c>
      <c r="C6" s="18">
        <v>2553000000</v>
      </c>
      <c r="D6" s="18">
        <v>1518000000</v>
      </c>
      <c r="E6" s="18">
        <v>1891000000</v>
      </c>
      <c r="F6" s="6" t="s">
        <v>92</v>
      </c>
    </row>
    <row r="7" spans="1:6" x14ac:dyDescent="0.25">
      <c r="A7" t="s">
        <v>93</v>
      </c>
      <c r="B7" s="18">
        <v>0</v>
      </c>
      <c r="C7" s="18">
        <v>65000000</v>
      </c>
      <c r="D7" s="18">
        <v>44000000</v>
      </c>
      <c r="E7" s="18">
        <v>81000000</v>
      </c>
      <c r="F7" s="6" t="s">
        <v>94</v>
      </c>
    </row>
    <row r="8" spans="1:6" x14ac:dyDescent="0.25">
      <c r="A8" t="s">
        <v>95</v>
      </c>
      <c r="B8" s="18">
        <v>0</v>
      </c>
      <c r="C8" s="18">
        <v>0</v>
      </c>
      <c r="D8" s="18">
        <v>0</v>
      </c>
      <c r="E8" s="18">
        <v>25000000</v>
      </c>
      <c r="F8" s="6" t="s">
        <v>94</v>
      </c>
    </row>
    <row r="9" spans="1:6" x14ac:dyDescent="0.25">
      <c r="A9" t="s">
        <v>96</v>
      </c>
      <c r="B9" s="18">
        <v>106000000</v>
      </c>
      <c r="C9" s="18">
        <v>67000000</v>
      </c>
      <c r="D9" s="18">
        <v>-720000000</v>
      </c>
      <c r="E9" s="18">
        <v>-319000000</v>
      </c>
      <c r="F9" s="6" t="s">
        <v>97</v>
      </c>
    </row>
    <row r="10" spans="1:6" x14ac:dyDescent="0.25">
      <c r="A10" t="s">
        <v>98</v>
      </c>
      <c r="B10" s="18">
        <v>2067000000</v>
      </c>
      <c r="C10" s="18">
        <v>2058000000</v>
      </c>
      <c r="D10" s="18">
        <v>2304000000</v>
      </c>
      <c r="E10" s="18">
        <v>2341000000</v>
      </c>
      <c r="F10" s="6" t="s">
        <v>99</v>
      </c>
    </row>
    <row r="11" spans="1:6" x14ac:dyDescent="0.25">
      <c r="A11" t="s">
        <v>100</v>
      </c>
      <c r="B11" s="18">
        <v>11014000000</v>
      </c>
      <c r="C11" s="18">
        <v>10611000000</v>
      </c>
      <c r="D11" s="18">
        <v>10071000000</v>
      </c>
      <c r="E11" s="18">
        <v>9622000000</v>
      </c>
      <c r="F11" s="6" t="s">
        <v>101</v>
      </c>
    </row>
    <row r="12" spans="1:6" x14ac:dyDescent="0.25">
      <c r="A12" t="s">
        <v>34</v>
      </c>
      <c r="B12" s="34">
        <v>623000000</v>
      </c>
      <c r="C12" s="34">
        <v>645000000</v>
      </c>
      <c r="D12" s="34">
        <v>662000000</v>
      </c>
      <c r="E12" s="34">
        <v>680000000</v>
      </c>
      <c r="F12" s="6" t="s">
        <v>102</v>
      </c>
    </row>
    <row r="15" spans="1:1" x14ac:dyDescent="0.25">
      <c r="A15" s="19" t="s">
        <v>103</v>
      </c>
    </row>
    <row r="16" ht="22" customHeight="1" spans="1:6" x14ac:dyDescent="0.25">
      <c r="A16" s="35" t="s">
        <v>104</v>
      </c>
      <c r="B16" s="35"/>
      <c r="C16" s="35"/>
      <c r="D16" s="35"/>
      <c r="E16" s="35"/>
      <c r="F16" s="35"/>
    </row>
    <row r="17" ht="86" customHeight="1" spans="1:6" x14ac:dyDescent="0.25">
      <c r="A17" s="35" t="s">
        <v>105</v>
      </c>
      <c r="B17" s="35"/>
      <c r="C17" s="35"/>
      <c r="D17" s="35"/>
      <c r="E17" s="35"/>
      <c r="F17" s="35"/>
    </row>
    <row r="18" ht="54" customHeight="1" spans="1:6" x14ac:dyDescent="0.25">
      <c r="A18" s="35" t="s">
        <v>106</v>
      </c>
      <c r="B18" s="35"/>
      <c r="C18" s="35"/>
      <c r="D18" s="35"/>
      <c r="E18" s="35"/>
      <c r="F18" s="35"/>
    </row>
    <row r="19" ht="38" customHeight="1" spans="1:6" x14ac:dyDescent="0.25">
      <c r="A19" s="35" t="s">
        <v>107</v>
      </c>
      <c r="B19" s="35"/>
      <c r="C19" s="35"/>
      <c r="D19" s="35"/>
      <c r="E19" s="35"/>
      <c r="F19" s="35"/>
    </row>
    <row r="21" spans="1:1" x14ac:dyDescent="0.25">
      <c r="A21" s="36" t="s">
        <v>108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