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<sst xmlns="http://schemas.openxmlformats.org/spreadsheetml/2006/main" count="119" uniqueCount="106">
  <si>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Abbott Laboratories (ABT)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</si>
  <si>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</si>
  <si>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</si>
  <si>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</si>
  <si>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</si>
  <si>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</si>
  <si>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</si>
  <si>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</si>
  <si>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</si>
  <si>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</si>
  <si>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</si>
  <si>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</si>
  <si>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</si>
  <si>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</si>
  <si>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</si>
  <si>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</si>
  <si>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</si>
  <si>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</si>
  <si>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</si>
  <si>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</si>
  <si>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</si>
  <si>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</si>
  <si>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</si>
  <si>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</si>
  <si>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16.3x interest cover. Book interest / average debt was lower, at 3.4%.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</si>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</sst>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0.1271352255910485</v>
      </c>
    </row>
    <row r="7" spans="1:2" x14ac:dyDescent="0.25">
      <c r="A7" t="s">
        <v>4</v>
      </c>
      <c r="B7" s="5">
        <v>0.1743570439506644</v>
      </c>
    </row>
    <row r="8" spans="1:2" x14ac:dyDescent="0.25">
      <c r="A8" t="s">
        <v>5</v>
      </c>
      <c r="B8" s="5">
        <v>0.16530219118709366</v>
      </c>
    </row>
    <row r="9" spans="1:2" x14ac:dyDescent="0.25">
      <c r="A9" t="s">
        <v>6</v>
      </c>
      <c r="B9" s="5">
        <v>0.07567485710086554</v>
      </c>
    </row>
    <row r="10" spans="1:3" x14ac:dyDescent="0.25">
      <c r="A10" t="s">
        <v>7</v>
      </c>
      <c r="B10" s="5">
        <v>0.049298465082224234</v>
      </c>
      <c r="C10" s="6" t="s">
        <v>8</v>
      </c>
    </row>
    <row r="11" spans="1:2" x14ac:dyDescent="0.25">
      <c r="A11" t="s">
        <v>9</v>
      </c>
      <c r="B11" s="5">
        <v>0.21656442570633877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16.893877009580088</v>
      </c>
    </row>
    <row r="14" spans="1:3" x14ac:dyDescent="0.25">
      <c r="A14" t="s">
        <v>12</v>
      </c>
      <c r="B14" s="5">
        <v>0.10240050760491815</v>
      </c>
      <c r="C14" s="6" t="s">
        <v>13</v>
      </c>
    </row>
    <row r="15" spans="1:3" x14ac:dyDescent="0.25">
      <c r="A15" t="s">
        <v>14</v>
      </c>
      <c r="B15" s="5">
        <v>0.031214333548410737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0.72061</v>
      </c>
      <c r="C19" s="6" t="s">
        <v>21</v>
      </c>
    </row>
    <row r="20" spans="1:2" x14ac:dyDescent="0.25">
      <c r="A20" t="s">
        <v>22</v>
      </c>
      <c r="B20" s="9">
        <f>B17+B19*B18</f>
        <v>0.079421803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183766712320</v>
      </c>
    </row>
    <row r="23" spans="1:2" x14ac:dyDescent="0.25">
      <c r="A23" t="s">
        <v>26</v>
      </c>
      <c r="B23" s="10">
        <v>13860000000</v>
      </c>
    </row>
    <row r="24" spans="1:2" x14ac:dyDescent="0.25">
      <c r="A24" t="s">
        <v>27</v>
      </c>
      <c r="B24" s="9">
        <f>B22/(B22+B23)</f>
        <v>0.9298677803354959</v>
      </c>
    </row>
    <row r="25" spans="1:2" x14ac:dyDescent="0.25">
      <c r="A25" t="s">
        <v>28</v>
      </c>
      <c r="B25" s="9">
        <f>1-B24</f>
        <v>0.07013221966450411</v>
      </c>
    </row>
    <row r="26" spans="1:2" x14ac:dyDescent="0.25">
      <c r="A26" t="s">
        <v>29</v>
      </c>
      <c r="B26" s="11">
        <f>B24*B20+B25*B21*(1-B8)</f>
        <v>0.07695084144754896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44328000000</v>
      </c>
      <c r="C29" s="6" t="s">
        <v>32</v>
      </c>
    </row>
    <row r="30" spans="1:2" x14ac:dyDescent="0.25">
      <c r="A30" t="s">
        <v>33</v>
      </c>
      <c r="B30" s="10">
        <v>4921000000</v>
      </c>
    </row>
    <row r="31" spans="1:2" x14ac:dyDescent="0.25">
      <c r="A31" t="s">
        <v>34</v>
      </c>
      <c r="B31" s="12">
        <v>1749000000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0.1271352255910485</v>
      </c>
      <c r="C5" s="5">
        <v>0.07133599867155271</v>
      </c>
      <c r="D5" s="5">
        <v>0.06554399883760863</v>
      </c>
      <c r="E5" s="5">
        <v>0.059751999003664534</v>
      </c>
      <c r="F5" s="5">
        <v>0.05395999916972045</v>
      </c>
      <c r="G5" s="5">
        <v>0.048167999335776354</v>
      </c>
      <c r="H5" s="5">
        <v>0.04237599950183227</v>
      </c>
      <c r="I5" s="5">
        <v>0.03658399966788818</v>
      </c>
      <c r="J5" s="5">
        <v>0.030791999833944088</v>
      </c>
      <c r="K5" s="5">
        <v>0.025</v>
      </c>
    </row>
    <row r="6" spans="1:11" x14ac:dyDescent="0.25">
      <c r="A6" t="s">
        <v>50</v>
      </c>
      <c r="B6" s="18">
        <f>Assumptions!B29*(1+B5)</f>
        <v>49963650280</v>
      </c>
      <c r="C6" s="18">
        <f>B6*(1+C5)</f>
        <v>53527857170.00001</v>
      </c>
      <c r="D6" s="18">
        <f>C6*(1+D5)</f>
        <v>57036286978.130165</v>
      </c>
      <c r="E6" s="18">
        <f>D6*(1+E5)</f>
        <v>60444319140.82012</v>
      </c>
      <c r="F6" s="18">
        <f>E6*(1+F5)</f>
        <v>63705894551.47309</v>
      </c>
      <c r="G6" s="18">
        <f>F6*(1+G5)</f>
        <v>66774480037.91349</v>
      </c>
      <c r="H6" s="18">
        <f>G6*(1+H5)</f>
        <v>69604115370.73521</v>
      </c>
      <c r="I6" s="18">
        <f>H6*(1+I5)</f>
        <v>72150512304.34184</v>
      </c>
      <c r="J6" s="18">
        <f>I6*(1+J5)</f>
        <v>74372170867.23611</v>
      </c>
      <c r="K6" s="18">
        <f>J6*(1+K5)</f>
        <v>76231475138.917</v>
      </c>
    </row>
    <row r="7" spans="1:11" x14ac:dyDescent="0.25">
      <c r="A7" t="s">
        <v>4</v>
      </c>
      <c r="B7" s="9">
        <f>Assumptions!B7</f>
        <v>0.1743570439506644</v>
      </c>
      <c r="C7" s="9">
        <f>Assumptions!B7</f>
        <v>0.1743570439506644</v>
      </c>
      <c r="D7" s="9">
        <f>Assumptions!B7</f>
        <v>0.1743570439506644</v>
      </c>
      <c r="E7" s="9">
        <f>Assumptions!B7</f>
        <v>0.1743570439506644</v>
      </c>
      <c r="F7" s="9">
        <f>Assumptions!B7</f>
        <v>0.1743570439506644</v>
      </c>
      <c r="G7" s="9">
        <f>Assumptions!B7</f>
        <v>0.1743570439506644</v>
      </c>
      <c r="H7" s="9">
        <f>Assumptions!B7</f>
        <v>0.1743570439506644</v>
      </c>
      <c r="I7" s="9">
        <f>Assumptions!B7</f>
        <v>0.1743570439506644</v>
      </c>
      <c r="J7" s="9">
        <f>Assumptions!B7</f>
        <v>0.1743570439506644</v>
      </c>
      <c r="K7" s="9">
        <f>Assumptions!B7</f>
        <v>0.1743570439506644</v>
      </c>
    </row>
    <row r="8" spans="1:11" x14ac:dyDescent="0.25">
      <c r="A8" t="s">
        <v>51</v>
      </c>
      <c r="B8" s="18">
        <f>B6*B7</f>
        <v>8711514367.805586</v>
      </c>
      <c r="C8" s="18">
        <f>C6*C7</f>
        <v>9332958945.174578</v>
      </c>
      <c r="D8" s="18">
        <f>D6*D7</f>
        <v>9944678395.428549</v>
      </c>
      <c r="E8" s="18">
        <f>E6*E7</f>
        <v>10538892809.00396</v>
      </c>
      <c r="F8" s="18">
        <f>F6*F7</f>
        <v>11107571456.227585</v>
      </c>
      <c r="G8" s="18">
        <f>G6*G7</f>
        <v>11642600950.753244</v>
      </c>
      <c r="H8" s="18">
        <f>H6*H7</f>
        <v>12135967802.842396</v>
      </c>
      <c r="I8" s="18">
        <f>I6*I7</f>
        <v>12579950044.911083</v>
      </c>
      <c r="J8" s="18">
        <f>J6*J7</f>
        <v>12967311864.60501</v>
      </c>
      <c r="K8" s="18">
        <f>K6*K7</f>
        <v>13291494661.220133</v>
      </c>
    </row>
    <row r="9" spans="1:11" x14ac:dyDescent="0.25">
      <c r="A9" t="s">
        <v>52</v>
      </c>
      <c r="B9" s="18">
        <f>B8*(1-Assumptions!B8)</f>
        <v>7271481954.249474</v>
      </c>
      <c r="C9" s="18">
        <f>C8*(1-Assumptions!B8)</f>
        <v>7790200381.278033</v>
      </c>
      <c r="D9" s="18">
        <f>D8*(1-Assumptions!B8)</f>
        <v>8300801266.013259</v>
      </c>
      <c r="E9" s="18">
        <f>E8*(1-Assumptions!B8)</f>
        <v>8796790734.9897</v>
      </c>
      <c r="F9" s="18">
        <f>F8*(1-Assumptions!B8)</f>
        <v>9271465555.745949</v>
      </c>
      <c r="G9" s="18">
        <f>G8*(1-Assumptions!B8)</f>
        <v>9718053502.476793</v>
      </c>
      <c r="H9" s="18">
        <f>H8*(1-Assumptions!B8)</f>
        <v>10129865732.85653</v>
      </c>
      <c r="I9" s="18">
        <f>I8*(1-Assumptions!B8)</f>
        <v>10500456737.463104</v>
      </c>
      <c r="J9" s="18">
        <f>J8*(1-Assumptions!B8)</f>
        <v>10823786799.579403</v>
      </c>
      <c r="K9" s="18">
        <f>K8*(1-Assumptions!B8)</f>
        <v>11094381469.568888</v>
      </c>
    </row>
    <row r="10" spans="1:11" x14ac:dyDescent="0.25">
      <c r="A10" t="s">
        <v>53</v>
      </c>
      <c r="B10" s="18">
        <f>B6*Assumptions!B9</f>
        <v>3780992095.1766205</v>
      </c>
      <c r="C10" s="18">
        <f>C6*Assumptions!B9</f>
        <v>4050712942.2552915</v>
      </c>
      <c r="D10" s="18">
        <f>D6*Assumptions!B9</f>
        <v>4316212866.633958</v>
      </c>
      <c r="E10" s="18">
        <f>E6*Assumptions!B9</f>
        <v>4574115213.540674</v>
      </c>
      <c r="F10" s="18">
        <f>F6*Assumptions!B9</f>
        <v>4820934466.665535</v>
      </c>
      <c r="G10" s="18">
        <f>G6*Assumptions!B9</f>
        <v>5053149234.853702</v>
      </c>
      <c r="H10" s="18">
        <f>H6*Assumptions!B9</f>
        <v>5267281484.312546</v>
      </c>
      <c r="I10" s="18">
        <f>I6*Assumptions!B9</f>
        <v>5459979708.385309</v>
      </c>
      <c r="J10" s="18">
        <f>J6*Assumptions!B9</f>
        <v>5628103402.659247</v>
      </c>
      <c r="K10" s="18">
        <f>K6*Assumptions!B9</f>
        <v>5768805987.725728</v>
      </c>
    </row>
    <row r="11" spans="1:11" x14ac:dyDescent="0.25">
      <c r="A11" t="s">
        <v>54</v>
      </c>
      <c r="B11" s="18">
        <f>-B6*B19</f>
        <v>-2463131268.709043</v>
      </c>
      <c r="C11" s="18">
        <f>-C6*C19</f>
        <v>-2796493160.568781</v>
      </c>
      <c r="D11" s="18">
        <f>-D6*D19</f>
        <v>-3147771608.057892</v>
      </c>
      <c r="E11" s="18">
        <f>-E6*E19</f>
        <v>-3513879802.778226</v>
      </c>
      <c r="F11" s="18">
        <f>-F6*F19</f>
        <v>-3891117399.332297</v>
      </c>
      <c r="G11" s="18">
        <f>-G6*G19</f>
        <v>-4275211081.415265</v>
      </c>
      <c r="H11" s="18">
        <f>-H6*H19</f>
        <v>-4661377698.649195</v>
      </c>
      <c r="I11" s="18">
        <f>-I6*I19</f>
        <v>-5044409543.383194</v>
      </c>
      <c r="J11" s="18">
        <f>-J6*J19</f>
        <v>-5418780305.865072</v>
      </c>
      <c r="K11" s="18">
        <f>-K6*K19</f>
        <v>-5778769200.787868</v>
      </c>
    </row>
    <row r="12" spans="1:11" x14ac:dyDescent="0.25">
      <c r="A12" t="s">
        <v>55</v>
      </c>
      <c r="B12" s="18">
        <f>-(B6-Assumptions!B29)*Assumptions!B11</f>
        <v>-1220481366.3699672</v>
      </c>
      <c r="C12" s="18">
        <f>-(C6-B6)*Assumptions!B11</f>
        <v>-771880418.2314274</v>
      </c>
      <c r="D12" s="18">
        <f>-(D6-C6)*Assumptions!B11</f>
        <v>-759801086.5287079</v>
      </c>
      <c r="E12" s="18">
        <f>-(E6-D6)*Assumptions!B11</f>
        <v>-738058528.1016822</v>
      </c>
      <c r="F12" s="18">
        <f>-(F6-E6)*Assumptions!B11</f>
        <v>-706341205.7059764</v>
      </c>
      <c r="G12" s="18">
        <f>-(G6-F6)*Assumptions!B11</f>
        <v>-664546453.6017712</v>
      </c>
      <c r="H12" s="18">
        <f>-(H6-G6)*Assumptions!B11</f>
        <v>-612798350.8109014</v>
      </c>
      <c r="I12" s="18">
        <f>-(I6-H6)*Assumptions!B11</f>
        <v>-551458989.5469016</v>
      </c>
      <c r="J12" s="18">
        <f>-(J6-I6)*Assumptions!B11</f>
        <v>-481132210.7887679</v>
      </c>
      <c r="K12" s="18">
        <f>-(K6-J6)*Assumptions!B11</f>
        <v>-402659161.80991507</v>
      </c>
    </row>
    <row r="13" spans="1:11" x14ac:dyDescent="0.25">
      <c r="A13" s="19" t="s">
        <v>56</v>
      </c>
      <c r="B13" s="20">
        <f>B9+B10+B11+B12</f>
        <v>7368861414.347083</v>
      </c>
      <c r="C13" s="20">
        <f>C9+C10+C11+C12</f>
        <v>8272539744.733117</v>
      </c>
      <c r="D13" s="20">
        <f>D9+D10+D11+D12</f>
        <v>8709441438.060617</v>
      </c>
      <c r="E13" s="20">
        <f>E9+E10+E11+E12</f>
        <v>9118967617.650465</v>
      </c>
      <c r="F13" s="20">
        <f>F9+F10+F11+F12</f>
        <v>9494941417.37321</v>
      </c>
      <c r="G13" s="20">
        <f>G9+G10+G11+G12</f>
        <v>9831445202.31346</v>
      </c>
      <c r="H13" s="20">
        <f>H9+H10+H11+H12</f>
        <v>10122971167.708979</v>
      </c>
      <c r="I13" s="20">
        <f>I9+I10+I11+I12</f>
        <v>10364567912.918318</v>
      </c>
      <c r="J13" s="20">
        <f>J9+J10+J11+J12</f>
        <v>10551977685.58481</v>
      </c>
      <c r="K13" s="20">
        <f>K9+K10+K11+K12</f>
        <v>10681759094.696833</v>
      </c>
    </row>
    <row r="14" spans="1:11" x14ac:dyDescent="0.25">
      <c r="A14" t="s">
        <v>57</v>
      </c>
      <c r="B14" s="21">
        <f>1/(1+Assumptions!$B$26)^(1-0.5*Assumptions!$B$32)</f>
        <v>0.9636116901371855</v>
      </c>
      <c r="C14" s="21">
        <f>1/(1+Assumptions!$B$26)^(2-0.5*Assumptions!$B$32)</f>
        <v>0.8947592156035437</v>
      </c>
      <c r="D14" s="21">
        <f>1/(1+Assumptions!$B$26)^(3-0.5*Assumptions!$B$32)</f>
        <v>0.8308264232384849</v>
      </c>
      <c r="E14" s="21">
        <f>1/(1+Assumptions!$B$26)^(4-0.5*Assumptions!$B$32)</f>
        <v>0.7714617893995571</v>
      </c>
      <c r="F14" s="21">
        <f>1/(1+Assumptions!$B$26)^(5-0.5*Assumptions!$B$32)</f>
        <v>0.7163389076911082</v>
      </c>
      <c r="G14" s="21">
        <f>1/(1+Assumptions!$B$26)^(6-0.5*Assumptions!$B$32)</f>
        <v>0.6651546942739411</v>
      </c>
      <c r="H14" s="21">
        <f>1/(1+Assumptions!$B$26)^(7-0.5*Assumptions!$B$32)</f>
        <v>0.6176277214101015</v>
      </c>
      <c r="I14" s="21">
        <f>1/(1+Assumptions!$B$26)^(8-0.5*Assumptions!$B$32)</f>
        <v>0.5734966700800724</v>
      </c>
      <c r="J14" s="21">
        <f>1/(1+Assumptions!$B$26)^(9-0.5*Assumptions!$B$32)</f>
        <v>0.5325188931643576</v>
      </c>
      <c r="K14" s="21">
        <f>1/(1+Assumptions!$B$26)^(10-0.5*Assumptions!$B$32)</f>
        <v>0.4944690812893459</v>
      </c>
    </row>
    <row r="15" spans="1:11" x14ac:dyDescent="0.25">
      <c r="A15" s="19" t="s">
        <v>58</v>
      </c>
      <c r="B15" s="20">
        <f>B13*B14</f>
        <v>7100721001.865684</v>
      </c>
      <c r="C15" s="20">
        <f>C13*C14</f>
        <v>7401931173.046543</v>
      </c>
      <c r="D15" s="20">
        <f>D13*D14</f>
        <v>7236034078.388949</v>
      </c>
      <c r="E15" s="20">
        <f>E13*E14</f>
        <v>7034935075.789244</v>
      </c>
      <c r="F15" s="20">
        <f>F13*F14</f>
        <v>6801595963.512189</v>
      </c>
      <c r="G15" s="20">
        <f>G13*G14</f>
        <v>6539431927.815814</v>
      </c>
      <c r="H15" s="20">
        <f>H13*H14</f>
        <v>6252227616.212251</v>
      </c>
      <c r="I15" s="20">
        <f>I13*I14</f>
        <v>5944045184.877421</v>
      </c>
      <c r="J15" s="20">
        <f>J13*J14</f>
        <v>5619127477.822623</v>
      </c>
      <c r="K15" s="20">
        <f>K13*K14</f>
        <v>5281799606.108858</v>
      </c>
    </row>
    <row r="17" spans="1:2" x14ac:dyDescent="0.25">
      <c r="A17" s="22" t="s">
        <v>59</v>
      </c>
      <c r="B17" s="23">
        <f>SUM(B15:K15)</f>
        <v>65211849105.439575</v>
      </c>
    </row>
    <row r="19" spans="1:11" x14ac:dyDescent="0.25">
      <c r="A19" t="s">
        <v>7</v>
      </c>
      <c r="B19" s="9">
        <f>Assumptions!$B$10+($B$20-Assumptions!$B$10)*0/9</f>
        <v>0.049298465082224234</v>
      </c>
      <c r="C19" s="9">
        <f>Assumptions!$B$10+($B$20-Assumptions!$B$10)*1/9</f>
        <v>0.052243697177851746</v>
      </c>
      <c r="D19" s="9">
        <f>Assumptions!$B$10+($B$20-Assumptions!$B$10)*2/9</f>
        <v>0.05518892927347926</v>
      </c>
      <c r="E19" s="9">
        <f>Assumptions!$B$10+($B$20-Assumptions!$B$10)*3/9</f>
        <v>0.05813416136910677</v>
      </c>
      <c r="F19" s="9">
        <f>Assumptions!$B$10+($B$20-Assumptions!$B$10)*4/9</f>
        <v>0.06107939346473428</v>
      </c>
      <c r="G19" s="9">
        <f>Assumptions!$B$10+($B$20-Assumptions!$B$10)*5/9</f>
        <v>0.0640246255603618</v>
      </c>
      <c r="H19" s="9">
        <f>Assumptions!$B$10+($B$20-Assumptions!$B$10)*6/9</f>
        <v>0.06696985765598931</v>
      </c>
      <c r="I19" s="9">
        <f>Assumptions!$B$10+($B$20-Assumptions!$B$10)*7/9</f>
        <v>0.06991508975161682</v>
      </c>
      <c r="J19" s="9">
        <f>Assumptions!$B$10+($B$20-Assumptions!$B$10)*8/9</f>
        <v>0.07286032184724434</v>
      </c>
      <c r="K19" s="9">
        <f>Assumptions!$B$10+($B$20-Assumptions!$B$10)*9/9</f>
        <v>0.07580555394287185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0.07580555394287185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10681759094.696833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13923415487.645369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0.24413941478156587</v>
      </c>
    </row>
    <row r="7" spans="1:2" x14ac:dyDescent="0.25">
      <c r="A7" t="s">
        <v>66</v>
      </c>
      <c r="B7" s="18">
        <f>-MAX(B5,0)*B6</f>
        <v>-3399254508.914331</v>
      </c>
    </row>
    <row r="8" spans="1:2" x14ac:dyDescent="0.25">
      <c r="A8" t="s">
        <v>67</v>
      </c>
      <c r="B8" s="18">
        <f>IF(OR(Assumptions!$B$33=0,Assumptions!B12&lt;=0),B5,MAX(B5+B7,0))</f>
        <v>10524160978.731037</v>
      </c>
    </row>
    <row r="9" spans="1:2" x14ac:dyDescent="0.25">
      <c r="A9" t="s">
        <v>68</v>
      </c>
      <c r="B9" s="18">
        <f>B8*(1+Assumptions!B12)/(Assumptions!B26-Assumptions!B12)</f>
        <v>207643701288.08096</v>
      </c>
    </row>
    <row r="10" spans="1:2" x14ac:dyDescent="0.25">
      <c r="A10" t="s">
        <v>69</v>
      </c>
      <c r="B10" s="18">
        <f>B9/(1+Assumptions!B26)^(10-0.5*Assumptions!B32)</f>
        <v>102673390211.43677</v>
      </c>
    </row>
    <row r="11" spans="1:2" x14ac:dyDescent="0.25">
      <c r="A11" t="s">
        <v>70</v>
      </c>
      <c r="B11" s="18">
        <f>Forecast!B17+B10</f>
        <v>167885239316.87634</v>
      </c>
    </row>
    <row r="12" spans="1:2" x14ac:dyDescent="0.25">
      <c r="A12" t="s">
        <v>71</v>
      </c>
      <c r="B12" s="18">
        <f>-Assumptions!B30</f>
        <v>-4921000000</v>
      </c>
    </row>
    <row r="13" spans="1:2" x14ac:dyDescent="0.25">
      <c r="A13" t="s">
        <v>72</v>
      </c>
      <c r="B13" s="18">
        <f>B11+B12</f>
        <v>162964239316.87634</v>
      </c>
    </row>
    <row r="14" spans="1:2" x14ac:dyDescent="0.25">
      <c r="A14" s="19" t="s">
        <v>73</v>
      </c>
      <c r="B14" s="24">
        <f>B13/Assumptions!B31</f>
        <v>93.17566570433182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19060300648.94586</v>
      </c>
    </row>
    <row r="18" spans="1:2" x14ac:dyDescent="0.25">
      <c r="A18" t="s">
        <v>68</v>
      </c>
      <c r="B18" s="18">
        <f>B17*Assumptions!B13</f>
        <v>322002374928.91095</v>
      </c>
    </row>
    <row r="19" spans="1:2" x14ac:dyDescent="0.25">
      <c r="A19" t="s">
        <v>69</v>
      </c>
      <c r="B19" s="18">
        <f>B18/(1+Assumptions!B26)^(10-0.5*Assumptions!B32)</f>
        <v>159220218504.08612</v>
      </c>
    </row>
    <row r="20" spans="1:2" x14ac:dyDescent="0.25">
      <c r="A20" t="s">
        <v>70</v>
      </c>
      <c r="B20" s="18">
        <f>Forecast!B17+B19</f>
        <v>224432067609.5257</v>
      </c>
    </row>
    <row r="21" spans="1:2" x14ac:dyDescent="0.25">
      <c r="A21" t="s">
        <v>71</v>
      </c>
      <c r="B21" s="18">
        <f>-Assumptions!B30</f>
        <v>-4921000000</v>
      </c>
    </row>
    <row r="22" spans="1:2" x14ac:dyDescent="0.25">
      <c r="A22" t="s">
        <v>72</v>
      </c>
      <c r="B22" s="18">
        <f>B20+B21</f>
        <v>219511067609.5257</v>
      </c>
    </row>
    <row r="23" spans="1:2" x14ac:dyDescent="0.25">
      <c r="A23" s="19" t="s">
        <v>73</v>
      </c>
      <c r="B23" s="25">
        <f>B22/Assumptions!B31</f>
        <v>125.50661384192435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106.2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93.17566570433182</v>
      </c>
    </row>
    <row r="29" spans="1:2" x14ac:dyDescent="0.25">
      <c r="A29" s="19" t="s">
        <v>81</v>
      </c>
      <c r="B29" s="11">
        <f>B28/B26-1</f>
        <v>-0.12263968263341041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0.056951</v>
      </c>
      <c r="B5" s="31">
        <v>137.53364645848404</v>
      </c>
      <c r="C5" s="31">
        <v>143.66571458249518</v>
      </c>
      <c r="D5" s="31">
        <v>152.0253653379351</v>
      </c>
      <c r="E5" s="31">
        <v>163.85239463113146</v>
      </c>
      <c r="F5" s="31">
        <v>181.51620149020812</v>
      </c>
    </row>
    <row r="6" spans="1:6" x14ac:dyDescent="0.25">
      <c r="A6" s="30">
        <v>0.066951</v>
      </c>
      <c r="B6" s="31">
        <v>110.16467866597118</v>
      </c>
      <c r="C6" s="31">
        <v>112.49104566251049</v>
      </c>
      <c r="D6" s="31">
        <v>115.59370439675344</v>
      </c>
      <c r="E6" s="31">
        <v>119.78778506992762</v>
      </c>
      <c r="F6" s="31">
        <v>125.58567631099505</v>
      </c>
    </row>
    <row r="7" spans="1:6" x14ac:dyDescent="0.25">
      <c r="A7" s="30">
        <v>0.076951</v>
      </c>
      <c r="B7" s="31">
        <v>91.65992825728743</v>
      </c>
      <c r="C7" s="31">
        <v>92.2739509805579</v>
      </c>
      <c r="D7" s="32">
        <v>93.17537858698557</v>
      </c>
      <c r="E7" s="31">
        <v>94.45603176723435</v>
      </c>
      <c r="F7" s="31">
        <v>96.25150642145718</v>
      </c>
    </row>
    <row r="8" spans="1:6" x14ac:dyDescent="0.25">
      <c r="A8" s="30">
        <v>0.086951</v>
      </c>
      <c r="B8" s="31">
        <v>78.32188690776182</v>
      </c>
      <c r="C8" s="31">
        <v>78.10416411526896</v>
      </c>
      <c r="D8" s="31">
        <v>77.9855043448692</v>
      </c>
      <c r="E8" s="31">
        <v>77.99199924256352</v>
      </c>
      <c r="F8" s="31">
        <v>78.15978516802552</v>
      </c>
    </row>
    <row r="9" spans="1:6" x14ac:dyDescent="0.25">
      <c r="A9" s="30">
        <v>0.096951</v>
      </c>
      <c r="B9" s="31">
        <v>68.25788577090091</v>
      </c>
      <c r="C9" s="31">
        <v>67.62382950503087</v>
      </c>
      <c r="D9" s="31">
        <v>67.01103427063933</v>
      </c>
      <c r="E9" s="31">
        <v>66.42426348383923</v>
      </c>
      <c r="F9" s="31">
        <v>65.8698183619454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44328000000</v>
      </c>
      <c r="C5" s="18">
        <v>41950000000</v>
      </c>
      <c r="D5" s="18">
        <v>40109000000</v>
      </c>
      <c r="E5" s="18">
        <v>43653000000</v>
      </c>
      <c r="F5" s="6" t="s">
        <v>91</v>
      </c>
    </row>
    <row r="6" spans="1:6" x14ac:dyDescent="0.25">
      <c r="A6" t="s">
        <v>51</v>
      </c>
      <c r="B6" s="18">
        <v>8053000000</v>
      </c>
      <c r="C6" s="18">
        <v>6825000000</v>
      </c>
      <c r="D6" s="18">
        <v>6478000000</v>
      </c>
      <c r="E6" s="18">
        <v>8362000000</v>
      </c>
      <c r="F6" s="6" t="s">
        <v>92</v>
      </c>
    </row>
    <row r="7" spans="1:6" x14ac:dyDescent="0.25">
      <c r="A7" t="s">
        <v>93</v>
      </c>
      <c r="B7" s="18">
        <v>3116000000</v>
      </c>
      <c r="C7" s="18">
        <v>3218000000</v>
      </c>
      <c r="D7" s="18">
        <v>3243000000</v>
      </c>
      <c r="E7" s="18">
        <v>3267000000</v>
      </c>
      <c r="F7" s="6" t="s">
        <v>94</v>
      </c>
    </row>
    <row r="8" spans="1:6" x14ac:dyDescent="0.25">
      <c r="A8" t="s">
        <v>95</v>
      </c>
      <c r="B8" s="18">
        <v>2171000000</v>
      </c>
      <c r="C8" s="18">
        <v>2207000000</v>
      </c>
      <c r="D8" s="18">
        <v>2202000000</v>
      </c>
      <c r="E8" s="18">
        <v>1777000000</v>
      </c>
      <c r="F8" s="6" t="s">
        <v>96</v>
      </c>
    </row>
    <row r="9" spans="1:6" x14ac:dyDescent="0.25">
      <c r="A9" t="s">
        <v>97</v>
      </c>
      <c r="B9" s="18">
        <v>803000000</v>
      </c>
      <c r="C9" s="18">
        <v>9217000000</v>
      </c>
      <c r="D9" s="18">
        <v>2475000000</v>
      </c>
      <c r="E9" s="18">
        <v>1519000000</v>
      </c>
      <c r="F9" s="6" t="s">
        <v>98</v>
      </c>
    </row>
    <row r="10" spans="1:6" x14ac:dyDescent="0.25">
      <c r="A10" t="s">
        <v>99</v>
      </c>
      <c r="B10" s="18">
        <v>13860000000</v>
      </c>
      <c r="C10" s="18">
        <v>15021000000</v>
      </c>
      <c r="D10" s="18">
        <v>15628000000</v>
      </c>
      <c r="E10" s="18">
        <v>17716000000</v>
      </c>
      <c r="F10" s="6" t="s">
        <v>100</v>
      </c>
    </row>
    <row r="11" spans="1:6" x14ac:dyDescent="0.25">
      <c r="A11" t="s">
        <v>101</v>
      </c>
      <c r="B11" s="18">
        <v>8939000000</v>
      </c>
      <c r="C11" s="18">
        <v>7967000000</v>
      </c>
      <c r="D11" s="18">
        <v>7279000000</v>
      </c>
      <c r="E11" s="18">
        <v>10170000000</v>
      </c>
      <c r="F11" s="6" t="s">
        <v>102</v>
      </c>
    </row>
    <row r="12" spans="1:6" x14ac:dyDescent="0.25">
      <c r="A12" t="s">
        <v>34</v>
      </c>
      <c r="B12" s="34">
        <v>1749000000</v>
      </c>
      <c r="C12" s="34">
        <v>1748000000</v>
      </c>
      <c r="D12" s="34">
        <v>1749000000</v>
      </c>
      <c r="E12" s="34">
        <v>1764000000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