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<sst xmlns="http://schemas.openxmlformats.org/spreadsheetml/2006/main" count="111" uniqueCount="99">
  <si>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Abbott Laboratories (ABT)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</si>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</sst>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0.005127944169646348</v>
      </c>
    </row>
    <row r="7" spans="1:2" x14ac:dyDescent="0.25">
      <c r="A7" t="s">
        <v>5</v>
      </c>
      <c r="B7" s="6">
        <v>0.1743570439506644</v>
      </c>
    </row>
    <row r="8" spans="1:2" x14ac:dyDescent="0.25">
      <c r="A8" t="s">
        <v>6</v>
      </c>
      <c r="B8" s="6">
        <v>0.16530219118709366</v>
      </c>
    </row>
    <row r="9" spans="1:2" x14ac:dyDescent="0.25">
      <c r="A9" t="s">
        <v>7</v>
      </c>
      <c r="B9" s="6">
        <v>0.07567485710086554</v>
      </c>
    </row>
    <row r="10" spans="1:2" x14ac:dyDescent="0.25">
      <c r="A10" t="s">
        <v>8</v>
      </c>
      <c r="B10" s="6">
        <v>0.049298465082224234</v>
      </c>
    </row>
    <row r="11" spans="1:2" x14ac:dyDescent="0.25">
      <c r="A11" t="s">
        <v>9</v>
      </c>
      <c r="B11" s="6">
        <v>0.33767872161480234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16.337687957740172</v>
      </c>
    </row>
    <row r="14" spans="1:3" x14ac:dyDescent="0.25">
      <c r="A14" t="s">
        <v>12</v>
      </c>
      <c r="B14" s="6">
        <v>0.10240050760491815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0.72262</v>
      </c>
      <c r="C19" s="8" t="s">
        <v>19</v>
      </c>
    </row>
    <row r="20" spans="1:2" x14ac:dyDescent="0.25">
      <c r="A20" t="s">
        <v>20</v>
      </c>
      <c r="B20" s="10">
        <f>B17+B19*B18</f>
        <v>0.0897241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177554636800</v>
      </c>
    </row>
    <row r="23" spans="1:2" x14ac:dyDescent="0.25">
      <c r="A23" t="s">
        <v>24</v>
      </c>
      <c r="B23" s="11">
        <v>13860000000</v>
      </c>
    </row>
    <row r="24" spans="1:2" x14ac:dyDescent="0.25">
      <c r="A24" t="s">
        <v>25</v>
      </c>
      <c r="B24" s="10">
        <f>B22/(B22+B23)</f>
        <v>0.927591744123091</v>
      </c>
    </row>
    <row r="25" spans="1:2" x14ac:dyDescent="0.25">
      <c r="A25" t="s">
        <v>26</v>
      </c>
      <c r="B25" s="10">
        <f>1-B24</f>
        <v>0.07240825587690902</v>
      </c>
    </row>
    <row r="26" spans="1:2" x14ac:dyDescent="0.25">
      <c r="A26" t="s">
        <v>27</v>
      </c>
      <c r="B26" s="12">
        <f>B24*B20+B25*B21*(1-B8)</f>
        <v>0.08624807625464523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44328000000</v>
      </c>
      <c r="C29" s="8" t="s">
        <v>30</v>
      </c>
    </row>
    <row r="30" spans="1:2" x14ac:dyDescent="0.25">
      <c r="A30" t="s">
        <v>31</v>
      </c>
      <c r="B30" s="11">
        <v>4921000000</v>
      </c>
    </row>
    <row r="31" spans="1:2" x14ac:dyDescent="0.25">
      <c r="A31" t="s">
        <v>32</v>
      </c>
      <c r="B31" s="13">
        <v>1749000000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0.005127944169646348</v>
      </c>
      <c r="C5" s="10">
        <f>Assumptions!B6</f>
        <v>0.005127944169646348</v>
      </c>
      <c r="D5" s="10">
        <f>Assumptions!B6</f>
        <v>0.005127944169646348</v>
      </c>
      <c r="E5" s="10">
        <f>Assumptions!B6</f>
        <v>0.005127944169646348</v>
      </c>
      <c r="F5" s="10">
        <f>Assumptions!B6</f>
        <v>0.005127944169646348</v>
      </c>
    </row>
    <row r="6" spans="1:6" x14ac:dyDescent="0.25">
      <c r="A6" t="s">
        <v>43</v>
      </c>
      <c r="B6" s="18">
        <f>Assumptions!B29*(1+B5)</f>
        <v>44555311509.152084</v>
      </c>
      <c r="C6" s="18">
        <f>B6*(1+C5)</f>
        <v>44783788659.03222</v>
      </c>
      <c r="D6" s="18">
        <f>C6*(1+D5)</f>
        <v>45013437426.98098</v>
      </c>
      <c r="E6" s="18">
        <f>D6*(1+E5)</f>
        <v>45244263820.99041</v>
      </c>
      <c r="F6" s="18">
        <f>E6*(1+F5)</f>
        <v>45476273879.8612</v>
      </c>
    </row>
    <row r="7" spans="1:6" x14ac:dyDescent="0.25">
      <c r="A7" t="s">
        <v>5</v>
      </c>
      <c r="B7" s="10">
        <f>Assumptions!B7</f>
        <v>0.1743570439506644</v>
      </c>
      <c r="C7" s="10">
        <f>Assumptions!B7</f>
        <v>0.1743570439506644</v>
      </c>
      <c r="D7" s="10">
        <f>Assumptions!B7</f>
        <v>0.1743570439506644</v>
      </c>
      <c r="E7" s="10">
        <f>Assumptions!B7</f>
        <v>0.1743570439506644</v>
      </c>
      <c r="F7" s="10">
        <f>Assumptions!B7</f>
        <v>0.1743570439506644</v>
      </c>
    </row>
    <row r="8" spans="1:6" x14ac:dyDescent="0.25">
      <c r="A8" t="s">
        <v>44</v>
      </c>
      <c r="B8" s="18">
        <f>B6*B7</f>
        <v>7768532407.036774</v>
      </c>
      <c r="C8" s="18">
        <f>C6*C7</f>
        <v>7808369007.500147</v>
      </c>
      <c r="D8" s="18">
        <f>D6*D7</f>
        <v>7848409887.826605</v>
      </c>
      <c r="E8" s="18">
        <f>E6*E7</f>
        <v>7888656095.55188</v>
      </c>
      <c r="F8" s="18">
        <f>F6*F7</f>
        <v>7929108683.58341</v>
      </c>
    </row>
    <row r="9" spans="1:6" x14ac:dyDescent="0.25">
      <c r="A9" t="s">
        <v>45</v>
      </c>
      <c r="B9" s="18">
        <f>B8*(1-Assumptions!B8)</f>
        <v>6484376977.845648</v>
      </c>
      <c r="C9" s="18">
        <f>C8*(1-Assumptions!B8)</f>
        <v>6517628500.962981</v>
      </c>
      <c r="D9" s="18">
        <f>D8*(1-Assumptions!B8)</f>
        <v>6551050536.034415</v>
      </c>
      <c r="E9" s="18">
        <f>E8*(1-Assumptions!B8)</f>
        <v>6584643957.435731</v>
      </c>
      <c r="F9" s="18">
        <f>F8*(1-Assumptions!B8)</f>
        <v>6618409644.026461</v>
      </c>
    </row>
    <row r="10" spans="1:6" x14ac:dyDescent="0.25">
      <c r="A10" t="s">
        <v>46</v>
      </c>
      <c r="B10" s="18">
        <f>B6*Assumptions!B9</f>
        <v>3371716831.5396338</v>
      </c>
      <c r="C10" s="18">
        <f>C6*Assumptions!B9</f>
        <v>3389006807.207626</v>
      </c>
      <c r="D10" s="18">
        <f>D6*Assumptions!B9</f>
        <v>3406385444.905538</v>
      </c>
      <c r="E10" s="18">
        <f>E6*Assumptions!B9</f>
        <v>3423853199.2873096</v>
      </c>
      <c r="F10" s="18">
        <f>F6*Assumptions!B9</f>
        <v>3441410527.3383203</v>
      </c>
    </row>
    <row r="11" spans="1:6" x14ac:dyDescent="0.25">
      <c r="A11" t="s">
        <v>47</v>
      </c>
      <c r="B11" s="18">
        <f>-B6*Assumptions!B10</f>
        <v>-2196508468.6615577</v>
      </c>
      <c r="C11" s="18">
        <f>-C6*Assumptions!B10</f>
        <v>-2207772041.4570093</v>
      </c>
      <c r="D11" s="18">
        <f>-D6*Assumptions!B10</f>
        <v>-2219093373.2249074</v>
      </c>
      <c r="E11" s="18">
        <f>-E6*Assumptions!B10</f>
        <v>-2230472760.150037</v>
      </c>
      <c r="F11" s="18">
        <f>-F6*Assumptions!B10</f>
        <v>-2241910499.936003</v>
      </c>
    </row>
    <row r="12" spans="1:6" x14ac:dyDescent="0.25">
      <c r="A12" t="s">
        <v>48</v>
      </c>
      <c r="B12" s="18">
        <f>-(B6-Assumptions!B29)*Assumptions!B11</f>
        <v>-76758259.81880729</v>
      </c>
      <c r="C12" s="18">
        <f>-(C6-B6)*Assumptions!B11</f>
        <v>-77151871.88971743</v>
      </c>
      <c r="D12" s="18">
        <f>-(D6-C6)*Assumptions!B11</f>
        <v>-77547502.381352</v>
      </c>
      <c r="E12" s="18">
        <f>-(E6-D6)*Assumptions!B11</f>
        <v>-77945161.64405897</v>
      </c>
      <c r="F12" s="18">
        <f>-(F6-E6)*Assumptions!B11</f>
        <v>-78344860.08126292</v>
      </c>
    </row>
    <row r="13" spans="1:6" x14ac:dyDescent="0.25">
      <c r="A13" s="19" t="s">
        <v>49</v>
      </c>
      <c r="B13" s="20">
        <f>B9+B10+B11+B12</f>
        <v>7582827080.904915</v>
      </c>
      <c r="C13" s="20">
        <f>C9+C10+C11+C12</f>
        <v>7621711394.82388</v>
      </c>
      <c r="D13" s="20">
        <f>D9+D10+D11+D12</f>
        <v>7660795105.3336935</v>
      </c>
      <c r="E13" s="20">
        <f>E9+E10+E11+E12</f>
        <v>7700079234.928946</v>
      </c>
      <c r="F13" s="20">
        <f>F9+F10+F11+F12</f>
        <v>7739564811.347515</v>
      </c>
    </row>
    <row r="14" spans="1:6" x14ac:dyDescent="0.25">
      <c r="A14" t="s">
        <v>50</v>
      </c>
      <c r="B14" s="21">
        <f>1/(1+Assumptions!$B$26)^(1-0.5*Assumptions!$B$32)</f>
        <v>0.9594790353793959</v>
      </c>
      <c r="C14" s="21">
        <f>1/(1+Assumptions!$B$26)^(2-0.5*Assumptions!$B$32)</f>
        <v>0.8832964185194734</v>
      </c>
      <c r="D14" s="21">
        <f>1/(1+Assumptions!$B$26)^(3-0.5*Assumptions!$B$32)</f>
        <v>0.8131626999654225</v>
      </c>
      <c r="E14" s="21">
        <f>1/(1+Assumptions!$B$26)^(4-0.5*Assumptions!$B$32)</f>
        <v>0.7485975973086979</v>
      </c>
      <c r="F14" s="21">
        <f>1/(1+Assumptions!$B$26)^(5-0.5*Assumptions!$B$32)</f>
        <v>0.6891589625547073</v>
      </c>
    </row>
    <row r="15" spans="1:6" x14ac:dyDescent="0.25">
      <c r="A15" s="19" t="s">
        <v>51</v>
      </c>
      <c r="B15" s="20">
        <f>B13*B14</f>
        <v>7275563613.035408</v>
      </c>
      <c r="C15" s="20">
        <f>C13*C14</f>
        <v>6732230378.036993</v>
      </c>
      <c r="D15" s="20">
        <f>D13*D14</f>
        <v>6229472831.735039</v>
      </c>
      <c r="E15" s="20">
        <f>E13*E14</f>
        <v>5764260814.354405</v>
      </c>
      <c r="F15" s="20">
        <f>F13*F14</f>
        <v>5333790456.013172</v>
      </c>
    </row>
    <row r="17" spans="1:2" x14ac:dyDescent="0.25">
      <c r="A17" s="22" t="s">
        <v>52</v>
      </c>
      <c r="B17" s="23">
        <f>SUM(B15:F15)</f>
        <v>31335318093.17502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7739564811.347515</v>
      </c>
    </row>
    <row r="5" spans="1:2" x14ac:dyDescent="0.25">
      <c r="A5" t="s">
        <v>56</v>
      </c>
      <c r="B5" s="18">
        <f>IF(Assumptions!$B$33=0,B4,B4-Forecast!F11-Forecast!F10-Forecast!F12)</f>
        <v>8306084263.821546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0.24413941478156587</v>
      </c>
    </row>
    <row r="7" spans="1:2" x14ac:dyDescent="0.25">
      <c r="A7" t="s">
        <v>58</v>
      </c>
      <c r="B7" s="18">
        <f>-MAX(Forecast!F9,0)*B6</f>
        <v>-2027842551.2957654</v>
      </c>
    </row>
    <row r="8" spans="1:2" x14ac:dyDescent="0.25">
      <c r="A8" t="s">
        <v>59</v>
      </c>
      <c r="B8" s="18">
        <f>IF(OR(Assumptions!$B$33=0,Assumptions!B12&lt;=0),B5,MAX(B5+B7,0))</f>
        <v>6278241712.52578</v>
      </c>
    </row>
    <row r="9" spans="1:2" x14ac:dyDescent="0.25">
      <c r="A9" t="s">
        <v>60</v>
      </c>
      <c r="B9" s="18">
        <f>B8*(1+Assumptions!B12)/(Assumptions!B26-Assumptions!B12)</f>
        <v>105067753125.56628</v>
      </c>
    </row>
    <row r="10" spans="1:2" x14ac:dyDescent="0.25">
      <c r="A10" t="s">
        <v>61</v>
      </c>
      <c r="B10" s="18">
        <f>B9/(1+Assumptions!B26)^(5-0.5*Assumptions!B32)</f>
        <v>72408383741.96938</v>
      </c>
    </row>
    <row r="11" spans="1:2" x14ac:dyDescent="0.25">
      <c r="A11" t="s">
        <v>62</v>
      </c>
      <c r="B11" s="18">
        <f>Forecast!B17+B10</f>
        <v>103743701835.1444</v>
      </c>
    </row>
    <row r="12" spans="1:2" x14ac:dyDescent="0.25">
      <c r="A12" t="s">
        <v>63</v>
      </c>
      <c r="B12" s="18">
        <f>-Assumptions!B30</f>
        <v>-4921000000</v>
      </c>
    </row>
    <row r="13" spans="1:2" x14ac:dyDescent="0.25">
      <c r="A13" t="s">
        <v>64</v>
      </c>
      <c r="B13" s="18">
        <f>B11+B12</f>
        <v>98822701835.1444</v>
      </c>
    </row>
    <row r="14" spans="1:2" x14ac:dyDescent="0.25">
      <c r="A14" s="19" t="s">
        <v>65</v>
      </c>
      <c r="B14" s="24">
        <f>B13/Assumptions!B31</f>
        <v>56.50240242146621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11370519210.92173</v>
      </c>
    </row>
    <row r="18" spans="1:2" x14ac:dyDescent="0.25">
      <c r="A18" t="s">
        <v>60</v>
      </c>
      <c r="B18" s="18">
        <f>B17*Assumptions!B13</f>
        <v>185767994785.52924</v>
      </c>
    </row>
    <row r="19" spans="1:2" x14ac:dyDescent="0.25">
      <c r="A19" t="s">
        <v>61</v>
      </c>
      <c r="B19" s="18">
        <f>B18/(1+Assumptions!B26)^(5-0.5*Assumptions!B32)</f>
        <v>128023678562.26361</v>
      </c>
    </row>
    <row r="20" spans="1:2" x14ac:dyDescent="0.25">
      <c r="A20" t="s">
        <v>62</v>
      </c>
      <c r="B20" s="18">
        <f>Forecast!B17+B19</f>
        <v>159358996655.43863</v>
      </c>
    </row>
    <row r="21" spans="1:2" x14ac:dyDescent="0.25">
      <c r="A21" t="s">
        <v>63</v>
      </c>
      <c r="B21" s="18">
        <f>-Assumptions!B30</f>
        <v>-4921000000</v>
      </c>
    </row>
    <row r="22" spans="1:2" x14ac:dyDescent="0.25">
      <c r="A22" t="s">
        <v>64</v>
      </c>
      <c r="B22" s="18">
        <f>B20+B21</f>
        <v>154437996655.43863</v>
      </c>
    </row>
    <row r="23" spans="1:2" x14ac:dyDescent="0.25">
      <c r="A23" s="19" t="s">
        <v>65</v>
      </c>
      <c r="B23" s="25">
        <f>B22/Assumptions!B31</f>
        <v>88.30074136960471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56.50240242146621</v>
      </c>
    </row>
    <row r="29" spans="1:2" x14ac:dyDescent="0.25">
      <c r="A29" s="19" t="s">
        <v>73</v>
      </c>
      <c r="B29" s="12">
        <f>B28/B26-1</f>
        <v>-0.4493479931637637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0.066248</v>
      </c>
      <c r="B5" s="31">
        <v>76.05839335676734</v>
      </c>
      <c r="C5" s="31">
        <v>79.05792369432737</v>
      </c>
      <c r="D5" s="31">
        <v>82.74252611046107</v>
      </c>
      <c r="E5" s="31">
        <v>87.39569434768144</v>
      </c>
      <c r="F5" s="31">
        <v>93.48236975635638</v>
      </c>
    </row>
    <row r="6" spans="1:6" x14ac:dyDescent="0.25">
      <c r="A6" s="30">
        <v>0.076248</v>
      </c>
      <c r="B6" s="31">
        <v>63.75687644915935</v>
      </c>
      <c r="C6" s="31">
        <v>65.28459122989096</v>
      </c>
      <c r="D6" s="31">
        <v>67.07790021025201</v>
      </c>
      <c r="E6" s="31">
        <v>69.22294577465786</v>
      </c>
      <c r="F6" s="31">
        <v>71.8476383372055</v>
      </c>
    </row>
    <row r="7" spans="1:6" x14ac:dyDescent="0.25">
      <c r="A7" s="30">
        <v>0.086248</v>
      </c>
      <c r="B7" s="31">
        <v>54.89778281934262</v>
      </c>
      <c r="C7" s="31">
        <v>55.651631563776505</v>
      </c>
      <c r="D7" s="32">
        <v>56.50246999271224</v>
      </c>
      <c r="E7" s="31">
        <v>57.476162941655645</v>
      </c>
      <c r="F7" s="31">
        <v>58.6086692343679</v>
      </c>
    </row>
    <row r="8" spans="1:6" x14ac:dyDescent="0.25">
      <c r="A8" s="30">
        <v>0.096248</v>
      </c>
      <c r="B8" s="31">
        <v>48.2105123806461</v>
      </c>
      <c r="C8" s="31">
        <v>48.53081970933389</v>
      </c>
      <c r="D8" s="31">
        <v>48.874560255036585</v>
      </c>
      <c r="E8" s="31">
        <v>49.247039811970296</v>
      </c>
      <c r="F8" s="31">
        <v>49.6552967351582</v>
      </c>
    </row>
    <row r="9" spans="1:6" x14ac:dyDescent="0.25">
      <c r="A9" s="30">
        <v>0.106248</v>
      </c>
      <c r="B9" s="31">
        <v>43.15931844334202</v>
      </c>
      <c r="C9" s="31">
        <v>43.301197901224974</v>
      </c>
      <c r="D9" s="31">
        <v>43.443077359107924</v>
      </c>
      <c r="E9" s="31">
        <v>43.58495681699088</v>
      </c>
      <c r="F9" s="31">
        <v>43.72683627487383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44328000000</v>
      </c>
      <c r="C5" s="18">
        <v>41950000000</v>
      </c>
      <c r="D5" s="18">
        <v>40109000000</v>
      </c>
      <c r="E5" s="18">
        <v>43653000000</v>
      </c>
      <c r="F5" s="8" t="s">
        <v>84</v>
      </c>
    </row>
    <row r="6" spans="1:6" x14ac:dyDescent="0.25">
      <c r="A6" t="s">
        <v>44</v>
      </c>
      <c r="B6" s="18">
        <v>8053000000</v>
      </c>
      <c r="C6" s="18">
        <v>6825000000</v>
      </c>
      <c r="D6" s="18">
        <v>6478000000</v>
      </c>
      <c r="E6" s="18">
        <v>8362000000</v>
      </c>
      <c r="F6" s="8" t="s">
        <v>85</v>
      </c>
    </row>
    <row r="7" spans="1:6" x14ac:dyDescent="0.25">
      <c r="A7" t="s">
        <v>86</v>
      </c>
      <c r="B7" s="18">
        <v>3116000000</v>
      </c>
      <c r="C7" s="18">
        <v>3218000000</v>
      </c>
      <c r="D7" s="18">
        <v>3243000000</v>
      </c>
      <c r="E7" s="18">
        <v>3267000000</v>
      </c>
      <c r="F7" s="8" t="s">
        <v>87</v>
      </c>
    </row>
    <row r="8" spans="1:6" x14ac:dyDescent="0.25">
      <c r="A8" t="s">
        <v>88</v>
      </c>
      <c r="B8" s="18">
        <v>2171000000</v>
      </c>
      <c r="C8" s="18">
        <v>2207000000</v>
      </c>
      <c r="D8" s="18">
        <v>2202000000</v>
      </c>
      <c r="E8" s="18">
        <v>1777000000</v>
      </c>
      <c r="F8" s="8" t="s">
        <v>89</v>
      </c>
    </row>
    <row r="9" spans="1:6" x14ac:dyDescent="0.25">
      <c r="A9" t="s">
        <v>90</v>
      </c>
      <c r="B9" s="18">
        <v>803000000</v>
      </c>
      <c r="C9" s="18">
        <v>9217000000</v>
      </c>
      <c r="D9" s="18">
        <v>2475000000</v>
      </c>
      <c r="E9" s="18">
        <v>1519000000</v>
      </c>
      <c r="F9" s="8" t="s">
        <v>91</v>
      </c>
    </row>
    <row r="10" spans="1:6" x14ac:dyDescent="0.25">
      <c r="A10" t="s">
        <v>92</v>
      </c>
      <c r="B10" s="18">
        <v>13860000000</v>
      </c>
      <c r="C10" s="18">
        <v>15021000000</v>
      </c>
      <c r="D10" s="18">
        <v>15628000000</v>
      </c>
      <c r="E10" s="18">
        <v>17716000000</v>
      </c>
      <c r="F10" s="8" t="s">
        <v>93</v>
      </c>
    </row>
    <row r="11" spans="1:6" x14ac:dyDescent="0.25">
      <c r="A11" t="s">
        <v>94</v>
      </c>
      <c r="B11" s="18">
        <v>8939000000</v>
      </c>
      <c r="C11" s="18">
        <v>7967000000</v>
      </c>
      <c r="D11" s="18">
        <v>7279000000</v>
      </c>
      <c r="E11" s="18">
        <v>10170000000</v>
      </c>
      <c r="F11" s="8" t="s">
        <v>95</v>
      </c>
    </row>
    <row r="12" spans="1:6" x14ac:dyDescent="0.25">
      <c r="A12" t="s">
        <v>32</v>
      </c>
      <c r="B12" s="34">
        <v>1749000000</v>
      </c>
      <c r="C12" s="34">
        <v>1748000000</v>
      </c>
      <c r="D12" s="34">
        <v>1749000000</v>
      </c>
      <c r="E12" s="34">
        <v>1764000000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