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<sst xmlns="http://schemas.openxmlformats.org/spreadsheetml/2006/main" count="114" uniqueCount="102">
  <si>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Barrick Mining Corporation (ABX.TO)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</si>
  <si>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</si>
  <si>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</si>
  <si>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</si>
  <si>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</si>
  <si>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</si>
  <si>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</si>
  <si>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</si>
  <si>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</si>
  <si>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</si>
  <si>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</si>
  <si>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</si>
  <si>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</si>
  <si>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</si>
  <si>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</si>
  <si>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</si>
  <si>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</si>
  <si>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</si>
  <si>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</si>
  <si>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</si>
  <si>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</si>
  <si>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</si>
  <si>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</si>
  <si>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</si>
  <si>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</si>
  <si>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</si>
  <si>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</si>
  <si>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</si>
  <si>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</si>
  <si>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</si>
  <si>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</si>
  <si>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</si>
  <si>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</si>
  <si>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</si>
  <si>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</si>
  <si>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</si>
  <si>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</si>
  <si>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</si>
  <si>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</si>
  <si>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</si>
  <si>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</si>
  <si>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</si>
  <si>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</si>
  <si>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</si>
  <si>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</si>
  <si>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</si>
  <si>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</si>
  <si>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</si>
  <si>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</si>
  <si>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</si>
  <si>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</si>
  <si>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</si>
  <si>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</si>
  <si>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</si>
  <si>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</si>
  <si>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</si>
  <si>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</si>
  <si>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</si>
  <si>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</si>
  <si>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</si>
  <si>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</si>
  <si>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</si>
  <si>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</si>
  <si>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</si>
  <si>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</si>
  <si>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</si>
  <si>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</si>
  <si>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</si>
  <si>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</si>
  <si>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</si>
  <si>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</si>
  <si>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</si>
  <si>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</si>
  <si>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</si>
  <si>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</si>
  <si>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</si>
  <si>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</si>
  <si>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</si>
  <si>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</si>
  <si>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</si>
  <si>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</si>
  <si>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</si>
  <si>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</si>
  <si>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</si>
  <si>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</si>
  <si>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</si>
  <si>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</si>
  <si>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</si>
  <si>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</si>
  <si>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</si>
  <si>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</si>
  <si>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</si>
  <si>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</si>
  <si>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</si>
  <si>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</si>
  <si>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</si>
  <si>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</si>
  <si>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</si>
  <si>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</si>
  <si>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Adjusted: Capital expenditure runs at 25.5% of revenue against depreciation of 15.5%.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</si>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</sst>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0.15470910306736108</v>
      </c>
    </row>
    <row r="7" spans="1:2" x14ac:dyDescent="0.25">
      <c r="A7" t="s">
        <v>5</v>
      </c>
      <c r="B7" s="6">
        <v>0.32925846253982305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0.15529857849126597</v>
      </c>
    </row>
    <row r="10" spans="1:2" x14ac:dyDescent="0.25">
      <c r="A10" t="s">
        <v>8</v>
      </c>
      <c r="B10" s="6">
        <v>0.254650802010302</v>
      </c>
    </row>
    <row r="11" spans="1:2" x14ac:dyDescent="0.25">
      <c r="A11" t="s">
        <v>9</v>
      </c>
      <c r="B11" s="6">
        <v>0.25049180327868853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9.852999606901422</v>
      </c>
    </row>
    <row r="14" spans="1:3" x14ac:dyDescent="0.25">
      <c r="A14" t="s">
        <v>12</v>
      </c>
      <c r="B14" s="6">
        <v>0.09190527058531084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1.1004999999999998</v>
      </c>
      <c r="C19" s="8" t="s">
        <v>19</v>
      </c>
    </row>
    <row r="20" spans="1:2" x14ac:dyDescent="0.25">
      <c r="A20" t="s">
        <v>20</v>
      </c>
      <c r="B20" s="10">
        <f>B17+B19*B18</f>
        <v>0.09352749999999999</v>
      </c>
    </row>
    <row r="21" spans="1:3" x14ac:dyDescent="0.25">
      <c r="A21" t="s">
        <v>21</v>
      </c>
      <c r="B21" s="6">
        <v>0.06840546479411484</v>
      </c>
      <c r="C21" s="8" t="s">
        <v>22</v>
      </c>
    </row>
    <row r="22" spans="1:2" x14ac:dyDescent="0.25">
      <c r="A22" t="s">
        <v>23</v>
      </c>
      <c r="B22" s="11">
        <v>99148079104</v>
      </c>
    </row>
    <row r="23" spans="1:2" x14ac:dyDescent="0.25">
      <c r="A23" t="s">
        <v>24</v>
      </c>
      <c r="B23" s="11">
        <v>5211000000</v>
      </c>
    </row>
    <row r="24" spans="1:2" x14ac:dyDescent="0.25">
      <c r="A24" t="s">
        <v>25</v>
      </c>
      <c r="B24" s="10">
        <f>B22/(B22+B23)</f>
        <v>0.9500666348846665</v>
      </c>
    </row>
    <row r="25" spans="1:2" x14ac:dyDescent="0.25">
      <c r="A25" t="s">
        <v>26</v>
      </c>
      <c r="B25" s="10">
        <f>1-B24</f>
        <v>0.04993336511533353</v>
      </c>
    </row>
    <row r="26" spans="1:2" x14ac:dyDescent="0.25">
      <c r="A26" t="s">
        <v>27</v>
      </c>
      <c r="B26" s="12">
        <f>B24*B20+B25*B21*(1-B8)</f>
        <v>0.09136790775552038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16956000000</v>
      </c>
      <c r="C29" s="8" t="s">
        <v>30</v>
      </c>
    </row>
    <row r="30" spans="1:2" x14ac:dyDescent="0.25">
      <c r="A30" t="s">
        <v>31</v>
      </c>
      <c r="B30" s="11">
        <v>-1495000000</v>
      </c>
    </row>
    <row r="31" spans="1:2" x14ac:dyDescent="0.25">
      <c r="A31" t="s">
        <v>32</v>
      </c>
      <c r="B31" s="13">
        <v>1707000000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0.15470910306736108</v>
      </c>
      <c r="C5" s="10">
        <f>Assumptions!B6</f>
        <v>0.15470910306736108</v>
      </c>
      <c r="D5" s="10">
        <f>Assumptions!B6</f>
        <v>0.15470910306736108</v>
      </c>
      <c r="E5" s="10">
        <f>Assumptions!B6</f>
        <v>0.15470910306736108</v>
      </c>
      <c r="F5" s="10">
        <f>Assumptions!B6</f>
        <v>0.15470910306736108</v>
      </c>
    </row>
    <row r="6" spans="1:6" x14ac:dyDescent="0.25">
      <c r="A6" t="s">
        <v>43</v>
      </c>
      <c r="B6" s="18">
        <f>Assumptions!B29*(1+B5)</f>
        <v>19579247551.610176</v>
      </c>
      <c r="C6" s="18">
        <f>B6*(1+C5)</f>
        <v>22608335379.05361</v>
      </c>
      <c r="D6" s="18">
        <f>C6*(1+D5)</f>
        <v>26106050667.39308</v>
      </c>
      <c r="E6" s="18">
        <f>D6*(1+E5)</f>
        <v>30144894350.776546</v>
      </c>
      <c r="F6" s="18">
        <f>E6*(1+F5)</f>
        <v>34808583917.84554</v>
      </c>
    </row>
    <row r="7" spans="1:6" x14ac:dyDescent="0.25">
      <c r="A7" t="s">
        <v>5</v>
      </c>
      <c r="B7" s="10">
        <f>Assumptions!B7</f>
        <v>0.32925846253982305</v>
      </c>
      <c r="C7" s="10">
        <f>Assumptions!B7</f>
        <v>0.32925846253982305</v>
      </c>
      <c r="D7" s="10">
        <f>Assumptions!B7</f>
        <v>0.32925846253982305</v>
      </c>
      <c r="E7" s="10">
        <f>Assumptions!B7</f>
        <v>0.32925846253982305</v>
      </c>
      <c r="F7" s="10">
        <f>Assumptions!B7</f>
        <v>0.32925846253982305</v>
      </c>
    </row>
    <row r="8" spans="1:6" x14ac:dyDescent="0.25">
      <c r="A8" t="s">
        <v>44</v>
      </c>
      <c r="B8" s="18">
        <f>B6*B7</f>
        <v>6446632946.529761</v>
      </c>
      <c r="C8" s="18">
        <f>C6*C7</f>
        <v>7443985747.491879</v>
      </c>
      <c r="D8" s="18">
        <f>D6*D7</f>
        <v>8595638105.732567</v>
      </c>
      <c r="E8" s="18">
        <f>E6*E7</f>
        <v>9925461567.362083</v>
      </c>
      <c r="F8" s="18">
        <f>F6*F7</f>
        <v>11461020823.978233</v>
      </c>
    </row>
    <row r="9" spans="1:6" x14ac:dyDescent="0.25">
      <c r="A9" t="s">
        <v>45</v>
      </c>
      <c r="B9" s="18">
        <f>B8*(1-Assumptions!B8)</f>
        <v>4738275215.699374</v>
      </c>
      <c r="C9" s="18">
        <f>C8*(1-Assumptions!B8)</f>
        <v>5471329524.406531</v>
      </c>
      <c r="D9" s="18">
        <f>D8*(1-Assumptions!B8)</f>
        <v>6317794007.713436</v>
      </c>
      <c r="E9" s="18">
        <f>E8*(1-Assumptions!B8)</f>
        <v>7295214252.011131</v>
      </c>
      <c r="F9" s="18">
        <f>F8*(1-Assumptions!B8)</f>
        <v>8423850305.6240015</v>
      </c>
    </row>
    <row r="10" spans="1:6" x14ac:dyDescent="0.25">
      <c r="A10" t="s">
        <v>46</v>
      </c>
      <c r="B10" s="18">
        <f>B6*Assumptions!B9</f>
        <v>3040629312.69366</v>
      </c>
      <c r="C10" s="18">
        <f>C6*Assumptions!B9</f>
        <v>3511042346.4208226</v>
      </c>
      <c r="D10" s="18">
        <f>D6*Assumptions!B9</f>
        <v>4054232558.667111</v>
      </c>
      <c r="E10" s="18">
        <f>E6*Assumptions!B9</f>
        <v>4681459241.444991</v>
      </c>
      <c r="F10" s="18">
        <f>F6*Assumptions!B9</f>
        <v>5405723601.735354</v>
      </c>
    </row>
    <row r="11" spans="1:6" x14ac:dyDescent="0.25">
      <c r="A11" t="s">
        <v>47</v>
      </c>
      <c r="B11" s="18">
        <f>-B6*Assumptions!B10</f>
        <v>-4985871091.775773</v>
      </c>
      <c r="C11" s="18">
        <f>-C6*Assumptions!B10</f>
        <v>-5757230736.3938875</v>
      </c>
      <c r="D11" s="18">
        <f>-D6*Assumptions!B10</f>
        <v>-6647926739.773228</v>
      </c>
      <c r="E11" s="18">
        <f>-E6*Assumptions!B10</f>
        <v>-7676421522.94107</v>
      </c>
      <c r="F11" s="18">
        <f>-F6*Assumptions!B10</f>
        <v>-8864033811.522266</v>
      </c>
    </row>
    <row r="12" spans="1:6" x14ac:dyDescent="0.25">
      <c r="A12" t="s">
        <v>48</v>
      </c>
      <c r="B12" s="18">
        <f>-(B6-Assumptions!B29)*Assumptions!B11</f>
        <v>-657102009.6492375</v>
      </c>
      <c r="C12" s="18">
        <f>-(C6-B6)*Assumptions!B11</f>
        <v>-758761672.1858311</v>
      </c>
      <c r="D12" s="18">
        <f>-(D6-C6)*Assumptions!B11</f>
        <v>-876149009.9315919</v>
      </c>
      <c r="E12" s="18">
        <f>-(E6-D6)*Assumptions!B11</f>
        <v>-1011697237.4114647</v>
      </c>
      <c r="F12" s="18">
        <f>-(F6-E6)*Assumptions!B11</f>
        <v>-1168216009.587119</v>
      </c>
    </row>
    <row r="13" spans="1:6" x14ac:dyDescent="0.25">
      <c r="A13" s="19" t="s">
        <v>49</v>
      </c>
      <c r="B13" s="20">
        <f>B9+B10+B11+B12</f>
        <v>2135931426.9680233</v>
      </c>
      <c r="C13" s="20">
        <f>C9+C10+C11+C12</f>
        <v>2466379462.247636</v>
      </c>
      <c r="D13" s="20">
        <f>D9+D10+D11+D12</f>
        <v>2847950816.675727</v>
      </c>
      <c r="E13" s="20">
        <f>E9+E10+E11+E12</f>
        <v>3288554733.103589</v>
      </c>
      <c r="F13" s="20">
        <f>F9+F10+F11+F12</f>
        <v>3797324086.2499704</v>
      </c>
    </row>
    <row r="14" spans="1:6" x14ac:dyDescent="0.25">
      <c r="A14" t="s">
        <v>50</v>
      </c>
      <c r="B14" s="21">
        <f>1/(1+Assumptions!$B$26)^(1-0.5*Assumptions!$B$32)</f>
        <v>0.9572258328873645</v>
      </c>
      <c r="C14" s="21">
        <f>1/(1+Assumptions!$B$26)^(2-0.5*Assumptions!$B$32)</f>
        <v>0.8770881259061126</v>
      </c>
      <c r="D14" s="21">
        <f>1/(1+Assumptions!$B$26)^(3-0.5*Assumptions!$B$32)</f>
        <v>0.8036594439632277</v>
      </c>
      <c r="E14" s="21">
        <f>1/(1+Assumptions!$B$26)^(4-0.5*Assumptions!$B$32)</f>
        <v>0.7363781161716706</v>
      </c>
      <c r="F14" s="21">
        <f>1/(1+Assumptions!$B$26)^(5-0.5*Assumptions!$B$32)</f>
        <v>0.6747294940036191</v>
      </c>
    </row>
    <row r="15" spans="1:6" x14ac:dyDescent="0.25">
      <c r="A15" s="19" t="s">
        <v>51</v>
      </c>
      <c r="B15" s="20">
        <f>B13*B14</f>
        <v>2044568739.169763</v>
      </c>
      <c r="C15" s="20">
        <f>C13*C14</f>
        <v>2163232140.316105</v>
      </c>
      <c r="D15" s="20">
        <f>D13*D14</f>
        <v>2288782569.764235</v>
      </c>
      <c r="E15" s="20">
        <f>E13*E14</f>
        <v>2421619739.2902517</v>
      </c>
      <c r="F15" s="20">
        <f>F13*F14</f>
        <v>2562166559.283198</v>
      </c>
    </row>
    <row r="17" spans="1:2" x14ac:dyDescent="0.25">
      <c r="A17" s="22" t="s">
        <v>52</v>
      </c>
      <c r="B17" s="23">
        <f>SUM(B15:F15)</f>
        <v>11480369747.823553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3797324086.2499704</v>
      </c>
    </row>
    <row r="5" spans="1:2" x14ac:dyDescent="0.25">
      <c r="A5" t="s">
        <v>56</v>
      </c>
      <c r="B5" s="18">
        <f>IF(Assumptions!$B$33=0,B4,B4-Forecast!F11-Forecast!F10-Forecast!F12)</f>
        <v>8423850305.6240015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0.27201921979864924</v>
      </c>
    </row>
    <row r="7" spans="1:2" x14ac:dyDescent="0.25">
      <c r="A7" t="s">
        <v>58</v>
      </c>
      <c r="B7" s="18">
        <f>-MAX(Forecast!F9,0)*B6</f>
        <v>-2291449187.836454</v>
      </c>
    </row>
    <row r="8" spans="1:2" x14ac:dyDescent="0.25">
      <c r="A8" t="s">
        <v>59</v>
      </c>
      <c r="B8" s="18">
        <f>IF(OR(Assumptions!$B$33=0,Assumptions!B12&lt;=0),B5,MAX(B5+B7,0))</f>
        <v>6132401117.787548</v>
      </c>
    </row>
    <row r="9" spans="1:2" x14ac:dyDescent="0.25">
      <c r="A9" t="s">
        <v>60</v>
      </c>
      <c r="B9" s="18">
        <f>B8*(1+Assumptions!B12)/(Assumptions!B26-Assumptions!B12)</f>
        <v>94710099478.90666</v>
      </c>
    </row>
    <row r="10" spans="1:2" x14ac:dyDescent="0.25">
      <c r="A10" t="s">
        <v>61</v>
      </c>
      <c r="B10" s="18">
        <f>B9/(1+Assumptions!B26)^(5-0.5*Assumptions!B32)</f>
        <v>63903697498.43513</v>
      </c>
    </row>
    <row r="11" spans="1:2" x14ac:dyDescent="0.25">
      <c r="A11" t="s">
        <v>62</v>
      </c>
      <c r="B11" s="18">
        <f>Forecast!B17+B10</f>
        <v>75384067246.25868</v>
      </c>
    </row>
    <row r="12" spans="1:2" x14ac:dyDescent="0.25">
      <c r="A12" t="s">
        <v>63</v>
      </c>
      <c r="B12" s="18">
        <f>-Assumptions!B30</f>
        <v>1495000000</v>
      </c>
    </row>
    <row r="13" spans="1:2" x14ac:dyDescent="0.25">
      <c r="A13" t="s">
        <v>64</v>
      </c>
      <c r="B13" s="18">
        <f>B11+B12</f>
        <v>76879067246.25868</v>
      </c>
    </row>
    <row r="14" spans="1:2" x14ac:dyDescent="0.25">
      <c r="A14" s="19" t="s">
        <v>65</v>
      </c>
      <c r="B14" s="24">
        <f>B13/Assumptions!B31</f>
        <v>45.03753207162196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16866744425.713589</v>
      </c>
    </row>
    <row r="18" spans="1:2" x14ac:dyDescent="0.25">
      <c r="A18" t="s">
        <v>60</v>
      </c>
      <c r="B18" s="18">
        <f>B17*Assumptions!B13</f>
        <v>166188026196.26276</v>
      </c>
    </row>
    <row r="19" spans="1:2" x14ac:dyDescent="0.25">
      <c r="A19" t="s">
        <v>61</v>
      </c>
      <c r="B19" s="18">
        <f>B18/(1+Assumptions!B26)^(5-0.5*Assumptions!B32)</f>
        <v>112131962824.86458</v>
      </c>
    </row>
    <row r="20" spans="1:2" x14ac:dyDescent="0.25">
      <c r="A20" t="s">
        <v>62</v>
      </c>
      <c r="B20" s="18">
        <f>Forecast!B17+B19</f>
        <v>123612332572.68813</v>
      </c>
    </row>
    <row r="21" spans="1:2" x14ac:dyDescent="0.25">
      <c r="A21" t="s">
        <v>63</v>
      </c>
      <c r="B21" s="18">
        <f>-Assumptions!B30</f>
        <v>1495000000</v>
      </c>
    </row>
    <row r="22" spans="1:2" x14ac:dyDescent="0.25">
      <c r="A22" t="s">
        <v>64</v>
      </c>
      <c r="B22" s="18">
        <f>B20+B21</f>
        <v>125107332572.68813</v>
      </c>
    </row>
    <row r="23" spans="1:2" x14ac:dyDescent="0.25">
      <c r="A23" s="19" t="s">
        <v>65</v>
      </c>
      <c r="B23" s="25">
        <f>B22/Assumptions!B31</f>
        <v>73.29076307714594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60.24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62.97147734254183</v>
      </c>
    </row>
    <row r="29" spans="1:2" x14ac:dyDescent="0.25">
      <c r="A29" s="19" t="s">
        <v>73</v>
      </c>
      <c r="B29" s="12">
        <f>B28/B26-1</f>
        <v>0.04534324937818446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0.071368</v>
      </c>
      <c r="B5" s="31">
        <v>62.462467857441645</v>
      </c>
      <c r="C5" s="31">
        <v>64.15536411252874</v>
      </c>
      <c r="D5" s="31">
        <v>66.17090202317497</v>
      </c>
      <c r="E5" s="31">
        <v>68.62607116667165</v>
      </c>
      <c r="F5" s="31">
        <v>71.70219766743462</v>
      </c>
    </row>
    <row r="6" spans="1:6" x14ac:dyDescent="0.25">
      <c r="A6" s="30">
        <v>0.081368</v>
      </c>
      <c r="B6" s="31">
        <v>52.17949807709434</v>
      </c>
      <c r="C6" s="31">
        <v>52.896543063755075</v>
      </c>
      <c r="D6" s="31">
        <v>53.70729983628004</v>
      </c>
      <c r="E6" s="31">
        <v>54.63913322857291</v>
      </c>
      <c r="F6" s="31">
        <v>55.73121140179045</v>
      </c>
    </row>
    <row r="7" spans="1:6" x14ac:dyDescent="0.25">
      <c r="A7" s="30">
        <v>0.091368</v>
      </c>
      <c r="B7" s="31">
        <v>44.63325194856652</v>
      </c>
      <c r="C7" s="31">
        <v>44.83388989258546</v>
      </c>
      <c r="D7" s="32">
        <v>45.03746431521339</v>
      </c>
      <c r="E7" s="31">
        <v>45.24469297129221</v>
      </c>
      <c r="F7" s="31">
        <v>45.45654828314951</v>
      </c>
    </row>
    <row r="8" spans="1:6" x14ac:dyDescent="0.25">
      <c r="A8" s="30">
        <v>0.101368</v>
      </c>
      <c r="B8" s="31">
        <v>39.44316222639191</v>
      </c>
      <c r="C8" s="31">
        <v>39.600796337820135</v>
      </c>
      <c r="D8" s="31">
        <v>39.75843044924836</v>
      </c>
      <c r="E8" s="31">
        <v>39.91606456067657</v>
      </c>
      <c r="F8" s="31">
        <v>40.07369867210478</v>
      </c>
    </row>
    <row r="9" spans="1:6" x14ac:dyDescent="0.25">
      <c r="A9" s="30">
        <v>0.111368</v>
      </c>
      <c r="B9" s="31">
        <v>35.257214263981204</v>
      </c>
      <c r="C9" s="31">
        <v>35.39497523909346</v>
      </c>
      <c r="D9" s="31">
        <v>35.5327362142057</v>
      </c>
      <c r="E9" s="31">
        <v>35.67049718931795</v>
      </c>
      <c r="F9" s="31">
        <v>35.80825816443019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16956000000</v>
      </c>
      <c r="C5" s="18">
        <v>12922000000</v>
      </c>
      <c r="D5" s="18">
        <v>11397000000</v>
      </c>
      <c r="E5" s="18">
        <v>11013000000</v>
      </c>
      <c r="F5" s="8" t="s">
        <v>84</v>
      </c>
    </row>
    <row r="6" spans="1:6" x14ac:dyDescent="0.25">
      <c r="A6" t="s">
        <v>44</v>
      </c>
      <c r="B6" s="18">
        <v>8005000000</v>
      </c>
      <c r="C6" s="18">
        <v>4184000000</v>
      </c>
      <c r="D6" s="18">
        <v>2810000000</v>
      </c>
      <c r="E6" s="18">
        <v>3024000000</v>
      </c>
      <c r="F6" s="8" t="s">
        <v>85</v>
      </c>
    </row>
    <row r="7" spans="1:6" x14ac:dyDescent="0.25">
      <c r="A7" t="s">
        <v>86</v>
      </c>
      <c r="B7" s="18">
        <v>1906000000</v>
      </c>
      <c r="C7" s="18">
        <v>1915000000</v>
      </c>
      <c r="D7" s="18">
        <v>2043000000</v>
      </c>
      <c r="E7" s="18">
        <v>1997000000</v>
      </c>
      <c r="F7" s="8" t="s">
        <v>87</v>
      </c>
    </row>
    <row r="8" spans="1:6" x14ac:dyDescent="0.25">
      <c r="A8" t="s">
        <v>88</v>
      </c>
      <c r="B8" s="18">
        <v>3821000000</v>
      </c>
      <c r="C8" s="18">
        <v>3174000000</v>
      </c>
      <c r="D8" s="18">
        <v>3086000000</v>
      </c>
      <c r="E8" s="18">
        <v>3049000000</v>
      </c>
      <c r="F8" s="8" t="s">
        <v>89</v>
      </c>
    </row>
    <row r="9" spans="1:6" x14ac:dyDescent="0.25">
      <c r="A9" t="s">
        <v>90</v>
      </c>
      <c r="B9" s="18">
        <v>23000000</v>
      </c>
      <c r="C9" s="18">
        <v>382000000</v>
      </c>
      <c r="D9" s="18">
        <v>404000000</v>
      </c>
      <c r="E9" s="18">
        <v>322000000</v>
      </c>
      <c r="F9" s="8" t="s">
        <v>91</v>
      </c>
    </row>
    <row r="10" spans="1:6" x14ac:dyDescent="0.25">
      <c r="A10" t="s">
        <v>92</v>
      </c>
      <c r="B10" s="18">
        <v>5211000000</v>
      </c>
      <c r="C10" s="18">
        <v>5256000000</v>
      </c>
      <c r="D10" s="18">
        <v>5223000000</v>
      </c>
      <c r="E10" s="18">
        <v>5250000000</v>
      </c>
      <c r="F10" s="8" t="s">
        <v>93</v>
      </c>
    </row>
    <row r="11" spans="1:6" x14ac:dyDescent="0.25">
      <c r="A11" t="s">
        <v>94</v>
      </c>
      <c r="B11" s="18">
        <v>6706000000</v>
      </c>
      <c r="C11" s="18">
        <v>4074000000</v>
      </c>
      <c r="D11" s="18">
        <v>4148000000</v>
      </c>
      <c r="E11" s="18">
        <v>4440000000</v>
      </c>
      <c r="F11" s="8" t="s">
        <v>95</v>
      </c>
    </row>
    <row r="12" spans="1:6" x14ac:dyDescent="0.25">
      <c r="A12" t="s">
        <v>32</v>
      </c>
      <c r="B12" s="34">
        <v>1707000000</v>
      </c>
      <c r="C12" s="34">
        <v>1751000000</v>
      </c>
      <c r="D12" s="34">
        <v>1755000000</v>
      </c>
      <c r="E12" s="34">
        <v>1771000000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2026-09-19T00:07:00Z</dcterms:modified>
</cp:coreProperties>
</file>