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<sst xmlns="http://schemas.openxmlformats.org/spreadsheetml/2006/main" count="112" uniqueCount="100">
  <si>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Accor SA (AC.PA)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</si>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</sst>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0.10109822282928582</v>
      </c>
    </row>
    <row r="7" spans="1:2" x14ac:dyDescent="0.25">
      <c r="A7" t="s">
        <v>5</v>
      </c>
      <c r="B7" s="6">
        <v>0.13552091575051758</v>
      </c>
    </row>
    <row r="8" spans="1:2" x14ac:dyDescent="0.25">
      <c r="A8" t="s">
        <v>6</v>
      </c>
      <c r="B8" s="6">
        <v>0.1961381074168798</v>
      </c>
    </row>
    <row r="9" spans="1:2" x14ac:dyDescent="0.25">
      <c r="A9" t="s">
        <v>7</v>
      </c>
      <c r="B9" s="6">
        <v>0.05712698343511393</v>
      </c>
    </row>
    <row r="10" spans="1:2" x14ac:dyDescent="0.25">
      <c r="A10" t="s">
        <v>8</v>
      </c>
      <c r="B10" s="6">
        <v>0.04092911324274635</v>
      </c>
    </row>
    <row r="11" spans="1:2" x14ac:dyDescent="0.25">
      <c r="A11" t="s">
        <v>9</v>
      </c>
      <c r="B11" s="6">
        <v>0.14363636363636365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11.296736987489574</v>
      </c>
    </row>
    <row r="14" spans="1:3" x14ac:dyDescent="0.25">
      <c r="A14" t="s">
        <v>12</v>
      </c>
      <c r="B14" s="6">
        <v>0.0775975838892374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0.90687</v>
      </c>
      <c r="C19" s="8" t="s">
        <v>19</v>
      </c>
    </row>
    <row r="20" spans="1:2" x14ac:dyDescent="0.25">
      <c r="A20" t="s">
        <v>20</v>
      </c>
      <c r="B20" s="10">
        <f>B17+B19*B18</f>
        <v>0.0864122</v>
      </c>
    </row>
    <row r="21" spans="1:3" x14ac:dyDescent="0.25">
      <c r="A21" t="s">
        <v>21</v>
      </c>
      <c r="B21" s="6">
        <v>0.03932794026135657</v>
      </c>
      <c r="C21" s="8" t="s">
        <v>22</v>
      </c>
    </row>
    <row r="22" spans="1:2" x14ac:dyDescent="0.25">
      <c r="A22" t="s">
        <v>23</v>
      </c>
      <c r="B22" s="11">
        <v>10453787648</v>
      </c>
    </row>
    <row r="23" spans="1:2" x14ac:dyDescent="0.25">
      <c r="A23" t="s">
        <v>24</v>
      </c>
      <c r="B23" s="11">
        <v>4296000000</v>
      </c>
    </row>
    <row r="24" spans="1:2" x14ac:dyDescent="0.25">
      <c r="A24" t="s">
        <v>25</v>
      </c>
      <c r="B24" s="10">
        <f>B22/(B22+B23)</f>
        <v>0.7087415695382898</v>
      </c>
    </row>
    <row r="25" spans="1:2" x14ac:dyDescent="0.25">
      <c r="A25" t="s">
        <v>26</v>
      </c>
      <c r="B25" s="10">
        <f>1-B24</f>
        <v>0.2912584304617102</v>
      </c>
    </row>
    <row r="26" spans="1:2" x14ac:dyDescent="0.25">
      <c r="A26" t="s">
        <v>27</v>
      </c>
      <c r="B26" s="12">
        <f>B24*B20+B25*B21*(1-B8)</f>
        <v>0.07045182999051357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5639000000</v>
      </c>
      <c r="C29" s="8" t="s">
        <v>30</v>
      </c>
    </row>
    <row r="30" spans="1:2" x14ac:dyDescent="0.25">
      <c r="A30" t="s">
        <v>31</v>
      </c>
      <c r="B30" s="11">
        <v>3091000000</v>
      </c>
    </row>
    <row r="31" spans="1:2" x14ac:dyDescent="0.25">
      <c r="A31" t="s">
        <v>32</v>
      </c>
      <c r="B31" s="13">
        <v>239764615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0.10109822282928582</v>
      </c>
      <c r="C5" s="10">
        <f>Assumptions!B6</f>
        <v>0.10109822282928582</v>
      </c>
      <c r="D5" s="10">
        <f>Assumptions!B6</f>
        <v>0.10109822282928582</v>
      </c>
      <c r="E5" s="10">
        <f>Assumptions!B6</f>
        <v>0.10109822282928582</v>
      </c>
      <c r="F5" s="10">
        <f>Assumptions!B6</f>
        <v>0.10109822282928582</v>
      </c>
    </row>
    <row r="6" spans="1:6" x14ac:dyDescent="0.25">
      <c r="A6" t="s">
        <v>43</v>
      </c>
      <c r="B6" s="18">
        <f>Assumptions!B29*(1+B5)</f>
        <v>6209092878.534343</v>
      </c>
      <c r="C6" s="18">
        <f>B6*(1+C5)</f>
        <v>6836821133.936139</v>
      </c>
      <c r="D6" s="18">
        <f>C6*(1+D5)</f>
        <v>7528011600.378785</v>
      </c>
      <c r="E6" s="18">
        <f>D6*(1+E5)</f>
        <v>8289080194.615328</v>
      </c>
      <c r="F6" s="18">
        <f>E6*(1+F5)</f>
        <v>9127091471.180368</v>
      </c>
    </row>
    <row r="7" spans="1:6" x14ac:dyDescent="0.25">
      <c r="A7" t="s">
        <v>5</v>
      </c>
      <c r="B7" s="10">
        <f>Assumptions!B7</f>
        <v>0.13552091575051758</v>
      </c>
      <c r="C7" s="10">
        <f>Assumptions!B7</f>
        <v>0.13552091575051758</v>
      </c>
      <c r="D7" s="10">
        <f>Assumptions!B7</f>
        <v>0.13552091575051758</v>
      </c>
      <c r="E7" s="10">
        <f>Assumptions!B7</f>
        <v>0.13552091575051758</v>
      </c>
      <c r="F7" s="10">
        <f>Assumptions!B7</f>
        <v>0.13552091575051758</v>
      </c>
    </row>
    <row r="8" spans="1:6" x14ac:dyDescent="0.25">
      <c r="A8" t="s">
        <v>44</v>
      </c>
      <c r="B8" s="18">
        <f>B6*B7</f>
        <v>841461952.8789914</v>
      </c>
      <c r="C8" s="18">
        <f>C6*C7</f>
        <v>926532260.8935176</v>
      </c>
      <c r="D8" s="18">
        <f>D6*D7</f>
        <v>1020203025.8638524</v>
      </c>
      <c r="E8" s="18">
        <f>E6*E7</f>
        <v>1123343738.7037477</v>
      </c>
      <c r="F8" s="18">
        <f>F6*F7</f>
        <v>1236911794.3131022</v>
      </c>
    </row>
    <row r="9" spans="1:6" x14ac:dyDescent="0.25">
      <c r="A9" t="s">
        <v>45</v>
      </c>
      <c r="B9" s="18">
        <f>B8*(1-Assumptions!B8)</f>
        <v>676419197.9779943</v>
      </c>
      <c r="C9" s="18">
        <f>C8*(1-Assumptions!B8)</f>
        <v>744803976.7811804</v>
      </c>
      <c r="D9" s="18">
        <f>D8*(1-Assumptions!B8)</f>
        <v>820102335.1899424</v>
      </c>
      <c r="E9" s="18">
        <f>E8*(1-Assumptions!B8)</f>
        <v>903013223.8157928</v>
      </c>
      <c r="F9" s="18">
        <f>F8*(1-Assumptions!B8)</f>
        <v>994306255.9349135</v>
      </c>
    </row>
    <row r="10" spans="1:6" x14ac:dyDescent="0.25">
      <c r="A10" t="s">
        <v>46</v>
      </c>
      <c r="B10" s="18">
        <f>B6*Assumptions!B9</f>
        <v>354706746.01911527</v>
      </c>
      <c r="C10" s="18">
        <f>C6*Assumptions!B9</f>
        <v>390566967.66720665</v>
      </c>
      <c r="D10" s="18">
        <f>D6*Assumptions!B9</f>
        <v>430052593.9941844</v>
      </c>
      <c r="E10" s="18">
        <f>E6*Assumptions!B9</f>
        <v>473530146.9701208</v>
      </c>
      <c r="F10" s="18">
        <f>F6*Assumptions!B9</f>
        <v>521403203.28489053</v>
      </c>
    </row>
    <row r="11" spans="1:6" x14ac:dyDescent="0.25">
      <c r="A11" t="s">
        <v>47</v>
      </c>
      <c r="B11" s="18">
        <f>-B6*Assumptions!B10</f>
        <v>-254132665.560262</v>
      </c>
      <c r="C11" s="18">
        <f>-C6*Assumptions!B10</f>
        <v>-279825026.4112737</v>
      </c>
      <c r="D11" s="18">
        <f>-D6*Assumptions!B10</f>
        <v>-308114839.28461146</v>
      </c>
      <c r="E11" s="18">
        <f>-E6*Assumptions!B10</f>
        <v>-339264701.96361667</v>
      </c>
      <c r="F11" s="18">
        <f>-F6*Assumptions!B10</f>
        <v>-373563760.40084565</v>
      </c>
    </row>
    <row r="12" spans="1:6" x14ac:dyDescent="0.25">
      <c r="A12" t="s">
        <v>48</v>
      </c>
      <c r="B12" s="18">
        <f>-(B6-Assumptions!B29)*Assumptions!B11</f>
        <v>-81886068.00766015</v>
      </c>
      <c r="C12" s="18">
        <f>-(C6-B6)*Assumptions!B11</f>
        <v>-90164603.95771258</v>
      </c>
      <c r="D12" s="18">
        <f>-(D6-C6)*Assumptions!B11</f>
        <v>-99280085.17994371</v>
      </c>
      <c r="E12" s="18">
        <f>-(E6-D6)*Assumptions!B11</f>
        <v>-109317125.35397615</v>
      </c>
      <c r="F12" s="18">
        <f>-(F6-E6)*Assumptions!B11</f>
        <v>-120368892.45206948</v>
      </c>
    </row>
    <row r="13" spans="1:6" x14ac:dyDescent="0.25">
      <c r="A13" s="19" t="s">
        <v>49</v>
      </c>
      <c r="B13" s="20">
        <f>B9+B10+B11+B12</f>
        <v>695107210.4291875</v>
      </c>
      <c r="C13" s="20">
        <f>C9+C10+C11+C12</f>
        <v>765381314.0794009</v>
      </c>
      <c r="D13" s="20">
        <f>D9+D10+D11+D12</f>
        <v>842760004.7195717</v>
      </c>
      <c r="E13" s="20">
        <f>E9+E10+E11+E12</f>
        <v>927961543.4683207</v>
      </c>
      <c r="F13" s="20">
        <f>F9+F10+F11+F12</f>
        <v>1021776806.3668888</v>
      </c>
    </row>
    <row r="14" spans="1:6" x14ac:dyDescent="0.25">
      <c r="A14" t="s">
        <v>50</v>
      </c>
      <c r="B14" s="21">
        <f>1/(1+Assumptions!$B$26)^(1-0.5*Assumptions!$B$32)</f>
        <v>0.9665324412647386</v>
      </c>
      <c r="C14" s="21">
        <f>1/(1+Assumptions!$B$26)^(2-0.5*Assumptions!$B$32)</f>
        <v>0.9029200699982027</v>
      </c>
      <c r="D14" s="21">
        <f>1/(1+Assumptions!$B$26)^(3-0.5*Assumptions!$B$32)</f>
        <v>0.8434943494899761</v>
      </c>
      <c r="E14" s="21">
        <f>1/(1+Assumptions!$B$26)^(4-0.5*Assumptions!$B$32)</f>
        <v>0.7879797351530067</v>
      </c>
      <c r="F14" s="21">
        <f>1/(1+Assumptions!$B$26)^(5-0.5*Assumptions!$B$32)</f>
        <v>0.736118817378256</v>
      </c>
    </row>
    <row r="15" spans="1:6" x14ac:dyDescent="0.25">
      <c r="A15" s="19" t="s">
        <v>51</v>
      </c>
      <c r="B15" s="20">
        <f>B13*B14</f>
        <v>671843669.036845</v>
      </c>
      <c r="C15" s="20">
        <f>C13*C14</f>
        <v>691078149.683889</v>
      </c>
      <c r="D15" s="20">
        <f>D13*D14</f>
        <v>710863301.9571043</v>
      </c>
      <c r="E15" s="20">
        <f>E13*E14</f>
        <v>731214891.2543427</v>
      </c>
      <c r="F15" s="20">
        <f>F13*F14</f>
        <v>752149134.3273255</v>
      </c>
    </row>
    <row r="17" spans="1:2" x14ac:dyDescent="0.25">
      <c r="A17" s="22" t="s">
        <v>52</v>
      </c>
      <c r="B17" s="23">
        <f>SUM(B15:F15)</f>
        <v>3557149146.259506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1021776806.3668888</v>
      </c>
    </row>
    <row r="5" spans="1:2" x14ac:dyDescent="0.25">
      <c r="A5" t="s">
        <v>56</v>
      </c>
      <c r="B5" s="18">
        <f>IF(Assumptions!$B$33=0,B4,B4-Forecast!F11-Forecast!F10-Forecast!F12)</f>
        <v>994306255.9349135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0.3221749795159207</v>
      </c>
    </row>
    <row r="7" spans="1:2" x14ac:dyDescent="0.25">
      <c r="A7" t="s">
        <v>58</v>
      </c>
      <c r="B7" s="18">
        <f>-MAX(Forecast!F9,0)*B6</f>
        <v>-320340597.6383826</v>
      </c>
    </row>
    <row r="8" spans="1:2" x14ac:dyDescent="0.25">
      <c r="A8" t="s">
        <v>59</v>
      </c>
      <c r="B8" s="18">
        <f>IF(OR(Assumptions!$B$33=0,Assumptions!B12&lt;=0),B5,MAX(B5+B7,0))</f>
        <v>673965658.296531</v>
      </c>
    </row>
    <row r="9" spans="1:2" x14ac:dyDescent="0.25">
      <c r="A9" t="s">
        <v>60</v>
      </c>
      <c r="B9" s="18">
        <f>B8*(1+Assumptions!B12)/(Assumptions!B26-Assumptions!B12)</f>
        <v>15198833576.076626</v>
      </c>
    </row>
    <row r="10" spans="1:2" x14ac:dyDescent="0.25">
      <c r="A10" t="s">
        <v>61</v>
      </c>
      <c r="B10" s="18">
        <f>B9/(1+Assumptions!B26)^(5-0.5*Assumptions!B32)</f>
        <v>11188147397.550455</v>
      </c>
    </row>
    <row r="11" spans="1:2" x14ac:dyDescent="0.25">
      <c r="A11" t="s">
        <v>62</v>
      </c>
      <c r="B11" s="18">
        <f>Forecast!B17+B10</f>
        <v>14745296543.809961</v>
      </c>
    </row>
    <row r="12" spans="1:2" x14ac:dyDescent="0.25">
      <c r="A12" t="s">
        <v>63</v>
      </c>
      <c r="B12" s="18">
        <f>-Assumptions!B30</f>
        <v>-3091000000</v>
      </c>
    </row>
    <row r="13" spans="1:2" x14ac:dyDescent="0.25">
      <c r="A13" t="s">
        <v>64</v>
      </c>
      <c r="B13" s="18">
        <f>B11+B12</f>
        <v>11654296543.809961</v>
      </c>
    </row>
    <row r="14" spans="1:2" x14ac:dyDescent="0.25">
      <c r="A14" s="19" t="s">
        <v>65</v>
      </c>
      <c r="B14" s="24">
        <f>B13/Assumptions!B31</f>
        <v>48.607241497290836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1758314997.597993</v>
      </c>
    </row>
    <row r="18" spans="1:2" x14ac:dyDescent="0.25">
      <c r="A18" t="s">
        <v>60</v>
      </c>
      <c r="B18" s="18">
        <f>B17*Assumptions!B13</f>
        <v>19863222069.02289</v>
      </c>
    </row>
    <row r="19" spans="1:2" x14ac:dyDescent="0.25">
      <c r="A19" t="s">
        <v>61</v>
      </c>
      <c r="B19" s="18">
        <f>B18/(1+Assumptions!B26)^(5-0.5*Assumptions!B32)</f>
        <v>14621691538.770803</v>
      </c>
    </row>
    <row r="20" spans="1:2" x14ac:dyDescent="0.25">
      <c r="A20" t="s">
        <v>62</v>
      </c>
      <c r="B20" s="18">
        <f>Forecast!B17+B19</f>
        <v>18178840685.03031</v>
      </c>
    </row>
    <row r="21" spans="1:2" x14ac:dyDescent="0.25">
      <c r="A21" t="s">
        <v>63</v>
      </c>
      <c r="B21" s="18">
        <f>-Assumptions!B30</f>
        <v>-3091000000</v>
      </c>
    </row>
    <row r="22" spans="1:2" x14ac:dyDescent="0.25">
      <c r="A22" t="s">
        <v>64</v>
      </c>
      <c r="B22" s="18">
        <f>B20+B21</f>
        <v>15087840685.030312</v>
      </c>
    </row>
    <row r="23" spans="1:2" x14ac:dyDescent="0.25">
      <c r="A23" s="19" t="s">
        <v>65</v>
      </c>
      <c r="B23" s="25">
        <f>B22/Assumptions!B31</f>
        <v>62.92772052719419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45.58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48.607241497290836</v>
      </c>
    </row>
    <row r="29" spans="1:2" x14ac:dyDescent="0.25">
      <c r="A29" s="19" t="s">
        <v>73</v>
      </c>
      <c r="B29" s="12">
        <f>B28/B26-1</f>
        <v>0.06641600476724085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0.050452</v>
      </c>
      <c r="B5" s="31">
        <v>79.43228976068522</v>
      </c>
      <c r="C5" s="31">
        <v>85.30206625811071</v>
      </c>
      <c r="D5" s="31">
        <v>93.393928719375</v>
      </c>
      <c r="E5" s="31">
        <v>105.33760966245096</v>
      </c>
      <c r="F5" s="31">
        <v>124.87225464954255</v>
      </c>
    </row>
    <row r="6" spans="1:6" x14ac:dyDescent="0.25">
      <c r="A6" s="30">
        <v>0.060452</v>
      </c>
      <c r="B6" s="31">
        <v>59.67092995792127</v>
      </c>
      <c r="C6" s="31">
        <v>61.90518850623576</v>
      </c>
      <c r="D6" s="31">
        <v>64.71179071378123</v>
      </c>
      <c r="E6" s="31">
        <v>68.3726607526471</v>
      </c>
      <c r="F6" s="31">
        <v>73.39125679782178</v>
      </c>
    </row>
    <row r="7" spans="1:6" x14ac:dyDescent="0.25">
      <c r="A7" s="30">
        <v>0.070452</v>
      </c>
      <c r="B7" s="31">
        <v>47.01972402921506</v>
      </c>
      <c r="C7" s="31">
        <v>47.75421544512647</v>
      </c>
      <c r="D7" s="32">
        <v>48.60702758482554</v>
      </c>
      <c r="E7" s="31">
        <v>49.622034937999175</v>
      </c>
      <c r="F7" s="31">
        <v>50.86786348349536</v>
      </c>
    </row>
    <row r="8" spans="1:6" x14ac:dyDescent="0.25">
      <c r="A8" s="30">
        <v>0.080452</v>
      </c>
      <c r="B8" s="31">
        <v>38.53206294362301</v>
      </c>
      <c r="C8" s="31">
        <v>38.714009396022405</v>
      </c>
      <c r="D8" s="31">
        <v>38.895955848421785</v>
      </c>
      <c r="E8" s="31">
        <v>39.07790230082117</v>
      </c>
      <c r="F8" s="31">
        <v>39.25984875322057</v>
      </c>
    </row>
    <row r="9" spans="1:6" x14ac:dyDescent="0.25">
      <c r="A9" s="30">
        <v>0.090452</v>
      </c>
      <c r="B9" s="31">
        <v>32.78092907649645</v>
      </c>
      <c r="C9" s="31">
        <v>32.93618830460365</v>
      </c>
      <c r="D9" s="31">
        <v>33.09144753271079</v>
      </c>
      <c r="E9" s="31">
        <v>33.24670676081798</v>
      </c>
      <c r="F9" s="31">
        <v>33.40196598892515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5639000000</v>
      </c>
      <c r="C5" s="18">
        <v>5606000000</v>
      </c>
      <c r="D5" s="18">
        <v>5056000000</v>
      </c>
      <c r="E5" s="18">
        <v>4224000000</v>
      </c>
      <c r="F5" s="8" t="s">
        <v>84</v>
      </c>
    </row>
    <row r="6" spans="1:6" x14ac:dyDescent="0.25">
      <c r="A6" t="s">
        <v>44</v>
      </c>
      <c r="B6" s="18">
        <v>869000000</v>
      </c>
      <c r="C6" s="18">
        <v>779000000</v>
      </c>
      <c r="D6" s="18">
        <v>724000000</v>
      </c>
      <c r="E6" s="18">
        <v>447000000</v>
      </c>
      <c r="F6" s="8" t="s">
        <v>85</v>
      </c>
    </row>
    <row r="7" spans="1:6" x14ac:dyDescent="0.25">
      <c r="A7" t="s">
        <v>86</v>
      </c>
      <c r="B7" s="18">
        <v>330000000</v>
      </c>
      <c r="C7" s="18">
        <v>341000000</v>
      </c>
      <c r="D7" s="18">
        <v>279000000</v>
      </c>
      <c r="E7" s="18">
        <v>228000000</v>
      </c>
      <c r="F7" s="8" t="s">
        <v>87</v>
      </c>
    </row>
    <row r="8" spans="1:6" x14ac:dyDescent="0.25">
      <c r="A8" t="s">
        <v>88</v>
      </c>
      <c r="B8" s="18">
        <v>197000000</v>
      </c>
      <c r="C8" s="18">
        <v>293000000</v>
      </c>
      <c r="D8" s="18">
        <v>254000000</v>
      </c>
      <c r="E8" s="18">
        <v>111000000</v>
      </c>
      <c r="F8" s="8" t="s">
        <v>89</v>
      </c>
    </row>
    <row r="9" spans="1:6" x14ac:dyDescent="0.25">
      <c r="A9" t="s">
        <v>90</v>
      </c>
      <c r="B9" s="18">
        <v>111000000</v>
      </c>
      <c r="C9" s="18">
        <v>79000000</v>
      </c>
      <c r="D9" s="18">
        <v>17000000</v>
      </c>
      <c r="E9" s="18">
        <v>-57000000</v>
      </c>
      <c r="F9" s="8" t="s">
        <v>91</v>
      </c>
    </row>
    <row r="10" spans="1:6" x14ac:dyDescent="0.25">
      <c r="A10" t="s">
        <v>92</v>
      </c>
      <c r="B10" s="18">
        <v>4296000000</v>
      </c>
      <c r="C10" s="18">
        <v>3739000000</v>
      </c>
      <c r="D10" s="18">
        <v>3369000000</v>
      </c>
      <c r="E10" s="18">
        <v>3316000000</v>
      </c>
      <c r="F10" s="8" t="s">
        <v>93</v>
      </c>
    </row>
    <row r="11" spans="1:6" x14ac:dyDescent="0.25">
      <c r="A11" t="s">
        <v>94</v>
      </c>
      <c r="B11" s="18">
        <v>1205000000</v>
      </c>
      <c r="C11" s="18">
        <v>1383000000</v>
      </c>
      <c r="D11" s="18">
        <v>1283000000</v>
      </c>
      <c r="E11" s="18">
        <v>1680000000</v>
      </c>
      <c r="F11" s="8" t="s">
        <v>95</v>
      </c>
    </row>
    <row r="12" spans="1:6" x14ac:dyDescent="0.25">
      <c r="A12" t="s">
        <v>32</v>
      </c>
      <c r="B12" s="34">
        <v>239764615</v>
      </c>
      <c r="C12" s="34">
        <v>246337615</v>
      </c>
      <c r="D12" s="34">
        <v>252289352</v>
      </c>
      <c r="E12" s="34">
        <v>289208633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2026-09-19T00:07:02Z</dcterms:modified>
</cp:coreProperties>
</file>