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<sst xmlns="http://schemas.openxmlformats.org/spreadsheetml/2006/main" count="114" uniqueCount="102">
  <si>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Crédit Agricole S.A. (ACA.PA)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</si>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</sst>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0.08349051105717464</v>
      </c>
    </row>
    <row r="7" spans="1:2" x14ac:dyDescent="0.25">
      <c r="A7" t="s">
        <v>5</v>
      </c>
      <c r="B7" s="6">
        <v>0.4009704783661424</v>
      </c>
    </row>
    <row r="8" spans="1:2" x14ac:dyDescent="0.25">
      <c r="A8" t="s">
        <v>6</v>
      </c>
      <c r="B8" s="6">
        <v>0.22995645023223446</v>
      </c>
    </row>
    <row r="9" spans="1:2" x14ac:dyDescent="0.25">
      <c r="A9" t="s">
        <v>7</v>
      </c>
      <c r="B9" s="6">
        <v>0.05071079302506126</v>
      </c>
    </row>
    <row r="10" spans="1:2" x14ac:dyDescent="0.25">
      <c r="A10" t="s">
        <v>8</v>
      </c>
      <c r="B10" s="6">
        <v>0.043245888304160415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0.07735421800569087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0.8706900000000001</v>
      </c>
      <c r="C19" s="8" t="s">
        <v>19</v>
      </c>
    </row>
    <row r="20" spans="1:2" x14ac:dyDescent="0.25">
      <c r="A20" t="s">
        <v>20</v>
      </c>
      <c r="B20" s="10">
        <f>B17+B19*B18</f>
        <v>0.0842414</v>
      </c>
    </row>
    <row r="21" spans="1:3" x14ac:dyDescent="0.25">
      <c r="A21" t="s">
        <v>21</v>
      </c>
      <c r="B21" s="6">
        <v>0.09887758430049877</v>
      </c>
      <c r="C21" s="8" t="s">
        <v>22</v>
      </c>
    </row>
    <row r="22" spans="1:2" x14ac:dyDescent="0.25">
      <c r="A22" t="s">
        <v>23</v>
      </c>
      <c r="B22" s="11">
        <v>55176462336</v>
      </c>
    </row>
    <row r="23" spans="1:2" x14ac:dyDescent="0.25">
      <c r="A23" t="s">
        <v>24</v>
      </c>
      <c r="B23" s="11">
        <v>312979000000</v>
      </c>
    </row>
    <row r="24" spans="1:2" x14ac:dyDescent="0.25">
      <c r="A24" t="s">
        <v>25</v>
      </c>
      <c r="B24" s="10">
        <f>B22/(B22+B23)</f>
        <v>0.1498727249241321</v>
      </c>
    </row>
    <row r="25" spans="1:2" x14ac:dyDescent="0.25">
      <c r="A25" t="s">
        <v>26</v>
      </c>
      <c r="B25" s="10">
        <f>1-B24</f>
        <v>0.8501272750758679</v>
      </c>
    </row>
    <row r="26" spans="1:2" x14ac:dyDescent="0.25">
      <c r="A26" t="s">
        <v>27</v>
      </c>
      <c r="B26" s="12">
        <f>B24*B20+B25*B21*(1-B8)</f>
        <v>0.07735421800569087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26261000000</v>
      </c>
      <c r="C29" s="8" t="s">
        <v>30</v>
      </c>
    </row>
    <row r="30" spans="1:2" x14ac:dyDescent="0.25">
      <c r="A30" t="s">
        <v>31</v>
      </c>
      <c r="B30" s="11">
        <v>-266779000000</v>
      </c>
    </row>
    <row r="31" spans="1:2" x14ac:dyDescent="0.25">
      <c r="A31" t="s">
        <v>32</v>
      </c>
      <c r="B31" s="13">
        <v>3027000000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0.08349051105717464</v>
      </c>
      <c r="C5" s="10">
        <f>Assumptions!B6</f>
        <v>0.08349051105717464</v>
      </c>
      <c r="D5" s="10">
        <f>Assumptions!B6</f>
        <v>0.08349051105717464</v>
      </c>
      <c r="E5" s="10">
        <f>Assumptions!B6</f>
        <v>0.08349051105717464</v>
      </c>
      <c r="F5" s="10">
        <f>Assumptions!B6</f>
        <v>0.08349051105717464</v>
      </c>
    </row>
    <row r="6" spans="1:6" x14ac:dyDescent="0.25">
      <c r="A6" t="s">
        <v>43</v>
      </c>
      <c r="B6" s="18">
        <f>Assumptions!B29*(1+B5)</f>
        <v>28453544310.872463</v>
      </c>
      <c r="C6" s="18">
        <f>B6*(1+C5)</f>
        <v>30829145266.77517</v>
      </c>
      <c r="D6" s="18">
        <f>C6*(1+D5)</f>
        <v>33403086360.554104</v>
      </c>
      <c r="E6" s="18">
        <f>D6*(1+E5)</f>
        <v>36191927111.68371</v>
      </c>
      <c r="F6" s="18">
        <f>E6*(1+F5)</f>
        <v>39213609602.382195</v>
      </c>
    </row>
    <row r="7" spans="1:6" x14ac:dyDescent="0.25">
      <c r="A7" t="s">
        <v>5</v>
      </c>
      <c r="B7" s="10">
        <f>Assumptions!B7</f>
        <v>0.4009704783661424</v>
      </c>
      <c r="C7" s="10">
        <f>Assumptions!B7</f>
        <v>0.4009704783661424</v>
      </c>
      <c r="D7" s="10">
        <f>Assumptions!B7</f>
        <v>0.4009704783661424</v>
      </c>
      <c r="E7" s="10">
        <f>Assumptions!B7</f>
        <v>0.4009704783661424</v>
      </c>
      <c r="F7" s="10">
        <f>Assumptions!B7</f>
        <v>0.4009704783661424</v>
      </c>
    </row>
    <row r="8" spans="1:6" x14ac:dyDescent="0.25">
      <c r="A8" t="s">
        <v>44</v>
      </c>
      <c r="B8" s="18">
        <f>B6*B7</f>
        <v>11409031273.54276</v>
      </c>
      <c r="C8" s="18">
        <f>C6*C7</f>
        <v>12361577125.238134</v>
      </c>
      <c r="D8" s="18">
        <f>D6*D7</f>
        <v>13393651516.896946</v>
      </c>
      <c r="E8" s="18">
        <f>E6*E7</f>
        <v>14511894326.964375</v>
      </c>
      <c r="F8" s="18">
        <f>F6*F7</f>
        <v>15723499800.730345</v>
      </c>
    </row>
    <row r="9" spans="1:6" x14ac:dyDescent="0.25">
      <c r="A9" t="s">
        <v>45</v>
      </c>
      <c r="B9" s="18">
        <f>B8*(1-Assumptions!B8)</f>
        <v>8785450941.29032</v>
      </c>
      <c r="C9" s="18">
        <f>C8*(1-Assumptions!B8)</f>
        <v>9518952730.246384</v>
      </c>
      <c r="D9" s="18">
        <f>D8*(1-Assumptions!B8)</f>
        <v>10313694958.423742</v>
      </c>
      <c r="E9" s="18">
        <f>E8*(1-Assumptions!B8)</f>
        <v>11174790621.390347</v>
      </c>
      <c r="F9" s="18">
        <f>F8*(1-Assumptions!B8)</f>
        <v>12107779601.327148</v>
      </c>
    </row>
    <row r="10" spans="1:6" x14ac:dyDescent="0.25">
      <c r="A10" t="s">
        <v>46</v>
      </c>
      <c r="B10" s="18">
        <f>B6*Assumptions!B9</f>
        <v>1442901796.378063</v>
      </c>
      <c r="C10" s="18">
        <f>C6*Assumptions!B9</f>
        <v>1563370404.7629826</v>
      </c>
      <c r="D10" s="18">
        <f>D6*Assumptions!B9</f>
        <v>1693896998.828306</v>
      </c>
      <c r="E10" s="18">
        <f>E6*Assumptions!B9</f>
        <v>1835321324.938696</v>
      </c>
      <c r="F10" s="18">
        <f>F6*Assumptions!B9</f>
        <v>1988553240.3119583</v>
      </c>
    </row>
    <row r="11" spans="1:6" x14ac:dyDescent="0.25">
      <c r="A11" t="s">
        <v>47</v>
      </c>
      <c r="B11" s="18">
        <f>-B6*Assumptions!B10</f>
        <v>-1230498799.1254697</v>
      </c>
      <c r="C11" s="18">
        <f>-C6*Assumptions!B10</f>
        <v>-1333233772.7196946</v>
      </c>
      <c r="D11" s="18">
        <f>-D6*Assumptions!B10</f>
        <v>-1444546141.762747</v>
      </c>
      <c r="E11" s="18">
        <f>-E6*Assumptions!B10</f>
        <v>-1565152037.3841887</v>
      </c>
      <c r="F11" s="18">
        <f>-F6*Assumptions!B10</f>
        <v>-1695827380.8675728</v>
      </c>
    </row>
    <row r="12" spans="1:6" x14ac:dyDescent="0.25">
      <c r="A12" t="s">
        <v>48</v>
      </c>
      <c r="B12" s="18">
        <f>-(B6-Assumptions!B29)*Assumptions!B11</f>
        <v>-2192544310.872463</v>
      </c>
      <c r="C12" s="18">
        <f>-(C6-B6)*Assumptions!B11</f>
        <v>-2375600955.902706</v>
      </c>
      <c r="D12" s="18">
        <f>-(D6-C6)*Assumptions!B11</f>
        <v>-2573941093.7789345</v>
      </c>
      <c r="E12" s="18">
        <f>-(E6-D6)*Assumptions!B11</f>
        <v>-2788840751.1296043</v>
      </c>
      <c r="F12" s="18">
        <f>-(F6-E6)*Assumptions!B11</f>
        <v>-3021682490.6984863</v>
      </c>
    </row>
    <row r="13" spans="1:6" x14ac:dyDescent="0.25">
      <c r="A13" s="19" t="s">
        <v>49</v>
      </c>
      <c r="B13" s="20">
        <f>B9+B10+B11+B12</f>
        <v>6805309627.67045</v>
      </c>
      <c r="C13" s="20">
        <f>C9+C10+C11+C12</f>
        <v>7373488406.386967</v>
      </c>
      <c r="D13" s="20">
        <f>D9+D10+D11+D12</f>
        <v>7989104721.710367</v>
      </c>
      <c r="E13" s="20">
        <f>E9+E10+E11+E12</f>
        <v>8656119157.81525</v>
      </c>
      <c r="F13" s="20">
        <f>F9+F10+F11+F12</f>
        <v>9378822970.073048</v>
      </c>
    </row>
    <row r="14" spans="1:6" x14ac:dyDescent="0.25">
      <c r="A14" t="s">
        <v>50</v>
      </c>
      <c r="B14" s="21">
        <f>1/(1+Assumptions!$B$26)^(1-0.5*Assumptions!$B$32)</f>
        <v>0.9634312783697271</v>
      </c>
      <c r="C14" s="21">
        <f>1/(1+Assumptions!$B$26)^(2-0.5*Assumptions!$B$32)</f>
        <v>0.8942567470085663</v>
      </c>
      <c r="D14" s="21">
        <f>1/(1+Assumptions!$B$26)^(3-0.5*Assumptions!$B$32)</f>
        <v>0.830048958887394</v>
      </c>
      <c r="E14" s="21">
        <f>1/(1+Assumptions!$B$26)^(4-0.5*Assumptions!$B$32)</f>
        <v>0.7704513009880001</v>
      </c>
      <c r="F14" s="21">
        <f>1/(1+Assumptions!$B$26)^(5-0.5*Assumptions!$B$32)</f>
        <v>0.7151327651681689</v>
      </c>
    </row>
    <row r="15" spans="1:6" x14ac:dyDescent="0.25">
      <c r="A15" s="19" t="s">
        <v>51</v>
      </c>
      <c r="B15" s="20">
        <f>B13*B14</f>
        <v>6556448154.288353</v>
      </c>
      <c r="C15" s="20">
        <f>C13*C14</f>
        <v>6593791756.400987</v>
      </c>
      <c r="D15" s="20">
        <f>D13*D14</f>
        <v>6631348056.698054</v>
      </c>
      <c r="E15" s="20">
        <f>E13*E14</f>
        <v>6669118266.645911</v>
      </c>
      <c r="F15" s="20">
        <f>F13*F14</f>
        <v>6707103604.611077</v>
      </c>
    </row>
    <row r="17" spans="1:2" x14ac:dyDescent="0.25">
      <c r="A17" s="22" t="s">
        <v>52</v>
      </c>
      <c r="B17" s="23">
        <f>SUM(B15:F15)</f>
        <v>33157809838.644382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9378822970.073048</v>
      </c>
    </row>
    <row r="5" spans="1:2" x14ac:dyDescent="0.25">
      <c r="A5" t="s">
        <v>56</v>
      </c>
      <c r="B5" s="18">
        <f>IF(Assumptions!$B$33=0,B4,B4-Forecast!F11-Forecast!F10-Forecast!F12)</f>
        <v>12107779601.327148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0.3231885816253844</v>
      </c>
    </row>
    <row r="7" spans="1:2" x14ac:dyDescent="0.25">
      <c r="A7" t="s">
        <v>58</v>
      </c>
      <c r="B7" s="18">
        <f>-MAX(Forecast!F9,0)*B6</f>
        <v>-3913096115.985683</v>
      </c>
    </row>
    <row r="8" spans="1:2" x14ac:dyDescent="0.25">
      <c r="A8" t="s">
        <v>59</v>
      </c>
      <c r="B8" s="18">
        <f>IF(OR(Assumptions!$B$33=0,Assumptions!B12&lt;=0),B5,MAX(B5+B7,0))</f>
        <v>8194683485.341465</v>
      </c>
    </row>
    <row r="9" spans="1:2" x14ac:dyDescent="0.25">
      <c r="A9" t="s">
        <v>60</v>
      </c>
      <c r="B9" s="18">
        <f>B8*(1+Assumptions!B12)/(Assumptions!B26-Assumptions!B12)</f>
        <v>160436940755.413</v>
      </c>
    </row>
    <row r="10" spans="1:2" x14ac:dyDescent="0.25">
      <c r="A10" t="s">
        <v>61</v>
      </c>
      <c r="B10" s="18">
        <f>B9/(1+Assumptions!B26)^(5-0.5*Assumptions!B32)</f>
        <v>114733713077.54019</v>
      </c>
    </row>
    <row r="11" spans="1:2" x14ac:dyDescent="0.25">
      <c r="A11" t="s">
        <v>62</v>
      </c>
      <c r="B11" s="18">
        <f>Forecast!B17+B10</f>
        <v>147891522916.18457</v>
      </c>
    </row>
    <row r="12" spans="1:2" x14ac:dyDescent="0.25">
      <c r="A12" t="s">
        <v>63</v>
      </c>
      <c r="B12" s="18">
        <f>-Assumptions!B30</f>
        <v>266779000000</v>
      </c>
    </row>
    <row r="13" spans="1:2" x14ac:dyDescent="0.25">
      <c r="A13" t="s">
        <v>64</v>
      </c>
      <c r="B13" s="18">
        <f>B11+B12</f>
        <v>414670522916.1846</v>
      </c>
    </row>
    <row r="14" spans="1:2" x14ac:dyDescent="0.25">
      <c r="A14" s="19" t="s">
        <v>65</v>
      </c>
      <c r="B14" s="24">
        <f>B13/Assumptions!B31</f>
        <v>136.99059230795658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17712053041.042305</v>
      </c>
    </row>
    <row r="18" spans="1:2" x14ac:dyDescent="0.25">
      <c r="A18" t="s">
        <v>60</v>
      </c>
      <c r="B18" s="18">
        <f>B17*Assumptions!B13</f>
        <v>141696424328.33844</v>
      </c>
    </row>
    <row r="19" spans="1:2" x14ac:dyDescent="0.25">
      <c r="A19" t="s">
        <v>61</v>
      </c>
      <c r="B19" s="18">
        <f>B18/(1+Assumptions!B26)^(5-0.5*Assumptions!B32)</f>
        <v>101331755744.36687</v>
      </c>
    </row>
    <row r="20" spans="1:2" x14ac:dyDescent="0.25">
      <c r="A20" t="s">
        <v>62</v>
      </c>
      <c r="B20" s="18">
        <f>Forecast!B17+B19</f>
        <v>134489565583.01125</v>
      </c>
    </row>
    <row r="21" spans="1:2" x14ac:dyDescent="0.25">
      <c r="A21" t="s">
        <v>63</v>
      </c>
      <c r="B21" s="18">
        <f>-Assumptions!B30</f>
        <v>266779000000</v>
      </c>
    </row>
    <row r="22" spans="1:2" x14ac:dyDescent="0.25">
      <c r="A22" t="s">
        <v>64</v>
      </c>
      <c r="B22" s="18">
        <f>B20+B21</f>
        <v>401268565583.0112</v>
      </c>
    </row>
    <row r="23" spans="1:2" x14ac:dyDescent="0.25">
      <c r="A23" s="19" t="s">
        <v>65</v>
      </c>
      <c r="B23" s="25">
        <f>B22/Assumptions!B31</f>
        <v>132.56312044367732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136.99059230795658</v>
      </c>
    </row>
    <row r="29" spans="1:2" x14ac:dyDescent="0.25">
      <c r="A29" s="19" t="s">
        <v>73</v>
      </c>
      <c r="B29" s="12">
        <f>B28/B26-1</f>
        <v>6.53109358482444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0.057354</v>
      </c>
      <c r="B5" s="31">
        <v>154.69501810217204</v>
      </c>
      <c r="C5" s="31">
        <v>154.96632855215177</v>
      </c>
      <c r="D5" s="31">
        <v>155.2376390021315</v>
      </c>
      <c r="E5" s="31">
        <v>155.5089494521112</v>
      </c>
      <c r="F5" s="31">
        <v>155.78025990209093</v>
      </c>
    </row>
    <row r="6" spans="1:6" x14ac:dyDescent="0.25">
      <c r="A6" s="30">
        <v>0.067354</v>
      </c>
      <c r="B6" s="31">
        <v>144.3015122413491</v>
      </c>
      <c r="C6" s="31">
        <v>144.52295961234574</v>
      </c>
      <c r="D6" s="31">
        <v>144.74440698334237</v>
      </c>
      <c r="E6" s="31">
        <v>144.96585435433903</v>
      </c>
      <c r="F6" s="31">
        <v>145.18730172533566</v>
      </c>
    </row>
    <row r="7" spans="1:6" x14ac:dyDescent="0.25">
      <c r="A7" s="30">
        <v>0.077354</v>
      </c>
      <c r="B7" s="31">
        <v>136.62094817376394</v>
      </c>
      <c r="C7" s="31">
        <v>136.80584369280064</v>
      </c>
      <c r="D7" s="32">
        <v>136.99073921183728</v>
      </c>
      <c r="E7" s="31">
        <v>137.17563473087395</v>
      </c>
      <c r="F7" s="31">
        <v>137.36053024991062</v>
      </c>
    </row>
    <row r="8" spans="1:6" x14ac:dyDescent="0.25">
      <c r="A8" s="30">
        <v>0.087354</v>
      </c>
      <c r="B8" s="31">
        <v>130.7203349514084</v>
      </c>
      <c r="C8" s="31">
        <v>130.87739654148373</v>
      </c>
      <c r="D8" s="31">
        <v>131.03445813155906</v>
      </c>
      <c r="E8" s="31">
        <v>131.19151972163442</v>
      </c>
      <c r="F8" s="31">
        <v>131.34858131170975</v>
      </c>
    </row>
    <row r="9" spans="1:6" x14ac:dyDescent="0.25">
      <c r="A9" s="30">
        <v>0.097354</v>
      </c>
      <c r="B9" s="31">
        <v>126.05009617077519</v>
      </c>
      <c r="C9" s="31">
        <v>126.1853370266033</v>
      </c>
      <c r="D9" s="31">
        <v>126.32057788243137</v>
      </c>
      <c r="E9" s="31">
        <v>126.45581873825945</v>
      </c>
      <c r="F9" s="31">
        <v>126.59105959408754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26261000000</v>
      </c>
      <c r="C5" s="18">
        <v>25328000000</v>
      </c>
      <c r="D5" s="18">
        <v>23454000000</v>
      </c>
      <c r="E5" s="18">
        <v>20646000000</v>
      </c>
      <c r="F5" s="8" t="s">
        <v>84</v>
      </c>
    </row>
    <row r="6" spans="1:6" x14ac:dyDescent="0.25">
      <c r="A6" t="s">
        <v>44</v>
      </c>
      <c r="B6" s="18">
        <v>10402000000</v>
      </c>
      <c r="C6" s="18">
        <v>10626000000</v>
      </c>
      <c r="D6" s="18">
        <v>9546000000</v>
      </c>
      <c r="E6" s="18">
        <v>7871000000</v>
      </c>
      <c r="F6" s="8" t="s">
        <v>85</v>
      </c>
    </row>
    <row r="7" spans="1:6" x14ac:dyDescent="0.25">
      <c r="A7" t="s">
        <v>86</v>
      </c>
      <c r="B7" s="18">
        <v>1343000000</v>
      </c>
      <c r="C7" s="18">
        <v>1245000000</v>
      </c>
      <c r="D7" s="18">
        <v>1151000000</v>
      </c>
      <c r="E7" s="18">
        <v>1104000000</v>
      </c>
      <c r="F7" s="8" t="s">
        <v>87</v>
      </c>
    </row>
    <row r="8" spans="1:6" x14ac:dyDescent="0.25">
      <c r="A8" t="s">
        <v>88</v>
      </c>
      <c r="B8" s="18">
        <v>1117000000</v>
      </c>
      <c r="C8" s="18">
        <v>1070000000</v>
      </c>
      <c r="D8" s="18">
        <v>885000000</v>
      </c>
      <c r="E8" s="18">
        <v>1042000000</v>
      </c>
      <c r="F8" s="8" t="s">
        <v>89</v>
      </c>
    </row>
    <row r="9" spans="1:6" x14ac:dyDescent="0.25">
      <c r="A9" t="s">
        <v>90</v>
      </c>
      <c r="B9" s="18">
        <v>26952000000</v>
      </c>
      <c r="C9" s="18">
        <v>47411000000</v>
      </c>
      <c r="D9" s="18">
        <v>61147000000</v>
      </c>
      <c r="E9" s="18">
        <v>1878000000</v>
      </c>
      <c r="F9" s="8" t="s">
        <v>91</v>
      </c>
    </row>
    <row r="10" spans="1:6" x14ac:dyDescent="0.25">
      <c r="A10" t="s">
        <v>92</v>
      </c>
      <c r="B10" s="18">
        <v>312979000000</v>
      </c>
      <c r="C10" s="18">
        <v>315576000000</v>
      </c>
      <c r="D10" s="18">
        <v>280246000000</v>
      </c>
      <c r="E10" s="18">
        <v>239899000000</v>
      </c>
      <c r="F10" s="8" t="s">
        <v>93</v>
      </c>
    </row>
    <row r="11" spans="1:6" x14ac:dyDescent="0.25">
      <c r="A11" t="s">
        <v>94</v>
      </c>
      <c r="B11" s="18">
        <v>579758000000</v>
      </c>
      <c r="C11" s="18">
        <v>581472000000</v>
      </c>
      <c r="D11" s="18">
        <v>598933000000</v>
      </c>
      <c r="E11" s="18">
        <v>654924000000</v>
      </c>
      <c r="F11" s="8" t="s">
        <v>95</v>
      </c>
    </row>
    <row r="12" spans="1:6" x14ac:dyDescent="0.25">
      <c r="A12" t="s">
        <v>32</v>
      </c>
      <c r="B12" s="34">
        <v>3027000000</v>
      </c>
      <c r="C12" s="34">
        <v>3015082065</v>
      </c>
      <c r="D12" s="34">
        <v>3031055333</v>
      </c>
      <c r="E12" s="34">
        <v>2989007006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