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<sst xmlns="http://schemas.openxmlformats.org/spreadsheetml/2006/main" count="113" uniqueCount="101">
  <si>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Arch Capital Group Ltd. (ACGL)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</si>
  <si>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</si>
  <si>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</si>
  <si>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</si>
  <si>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</si>
  <si>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</si>
  <si>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</si>
  <si>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</si>
  <si>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</si>
  <si>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</si>
  <si>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</si>
  <si>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</si>
  <si>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</si>
  <si>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</si>
  <si>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</si>
  <si>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</si>
  <si>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</si>
  <si>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</si>
  <si>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</si>
  <si>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</si>
  <si>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</si>
  <si>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</si>
  <si>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</si>
  <si>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</si>
  <si>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</si>
  <si>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</si>
  <si>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</si>
  <si>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</si>
  <si>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</si>
  <si>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</si>
  <si>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</si>
  <si>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</si>
  <si>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</si>
  <si>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</si>
  <si>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</si>
  <si>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</si>
  <si>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</si>
  <si>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</si>
  <si>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</si>
  <si>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</si>
  <si>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</si>
  <si>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</si>
  <si>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</si>
  <si>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</si>
  <si>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</si>
  <si>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</si>
  <si>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</si>
  <si>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</si>
  <si>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</si>
  <si>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</si>
  <si>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</si>
  <si>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</si>
  <si>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</si>
  <si>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</si>
  <si>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</si>
  <si>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</si>
  <si>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</si>
  <si>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</si>
  <si>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</si>
  <si>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</si>
  <si>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</si>
  <si>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</si>
  <si>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</si>
  <si>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</si>
  <si>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</si>
  <si>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</si>
  <si>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</si>
  <si>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</si>
  <si>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</si>
  <si>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</si>
  <si>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</si>
  <si>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</si>
  <si>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</si>
  <si>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</si>
  <si>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</si>
  <si>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</si>
  <si>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</si>
  <si>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</si>
  <si>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</si>
  <si>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</si>
  <si>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</si>
  <si>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</si>
  <si>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</si>
  <si>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</si>
  <si>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</si>
  <si>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</si>
  <si>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</si>
  <si>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</si>
  <si>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</si>
  <si>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</si>
  <si>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</si>
  <si>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</si>
  <si>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</si>
  <si>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</si>
  <si>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</si>
  <si>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</si>
  <si>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</si>
  <si>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</si>
  <si>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</si>
  <si>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0.36%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</si>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</sst>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0.2596165530127874</v>
      </c>
    </row>
    <row r="7" spans="1:2" x14ac:dyDescent="0.25">
      <c r="A7" t="s">
        <v>5</v>
      </c>
      <c r="B7" s="6">
        <v>0.23271290213490192</v>
      </c>
    </row>
    <row r="8" spans="1:2" x14ac:dyDescent="0.25">
      <c r="A8" t="s">
        <v>6</v>
      </c>
      <c r="B8" s="6">
        <v>0.0809119356280733</v>
      </c>
    </row>
    <row r="9" spans="1:2" x14ac:dyDescent="0.25">
      <c r="A9" t="s">
        <v>7</v>
      </c>
      <c r="B9" s="6">
        <v>0.010500814962032673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-0.7332233223322332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4.688261667440062</v>
      </c>
    </row>
    <row r="14" spans="1:3" x14ac:dyDescent="0.25">
      <c r="A14" t="s">
        <v>12</v>
      </c>
      <c r="B14" s="6">
        <v>0.16447011719932803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0.51894</v>
      </c>
      <c r="C19" s="8" t="s">
        <v>19</v>
      </c>
    </row>
    <row r="20" spans="1:2" x14ac:dyDescent="0.25">
      <c r="A20" t="s">
        <v>20</v>
      </c>
      <c r="B20" s="10">
        <f>B17+B19*B18</f>
        <v>0.0785217</v>
      </c>
    </row>
    <row r="21" spans="1:3" x14ac:dyDescent="0.25">
      <c r="A21" t="s">
        <v>21</v>
      </c>
      <c r="B21" s="6">
        <v>0.05424225765072384</v>
      </c>
      <c r="C21" s="8" t="s">
        <v>22</v>
      </c>
    </row>
    <row r="22" spans="1:2" x14ac:dyDescent="0.25">
      <c r="A22" t="s">
        <v>23</v>
      </c>
      <c r="B22" s="11">
        <v>33061689344</v>
      </c>
    </row>
    <row r="23" spans="1:2" x14ac:dyDescent="0.25">
      <c r="A23" t="s">
        <v>24</v>
      </c>
      <c r="B23" s="11">
        <v>2729000000</v>
      </c>
    </row>
    <row r="24" spans="1:2" x14ac:dyDescent="0.25">
      <c r="A24" t="s">
        <v>25</v>
      </c>
      <c r="B24" s="10">
        <f>B22/(B22+B23)</f>
        <v>0.9237511193548025</v>
      </c>
    </row>
    <row r="25" spans="1:2" x14ac:dyDescent="0.25">
      <c r="A25" t="s">
        <v>26</v>
      </c>
      <c r="B25" s="10">
        <f>1-B24</f>
        <v>0.07624888064519753</v>
      </c>
    </row>
    <row r="26" spans="1:2" x14ac:dyDescent="0.25">
      <c r="A26" t="s">
        <v>27</v>
      </c>
      <c r="B26" s="12">
        <f>B24*B20+B25*B21*(1-B8)</f>
        <v>0.07633577509882805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19300000000</v>
      </c>
      <c r="C29" s="8" t="s">
        <v>30</v>
      </c>
    </row>
    <row r="30" spans="1:2" x14ac:dyDescent="0.25">
      <c r="A30" t="s">
        <v>31</v>
      </c>
      <c r="B30" s="11">
        <v>-8814000000</v>
      </c>
    </row>
    <row r="31" spans="1:2" x14ac:dyDescent="0.25">
      <c r="A31" t="s">
        <v>32</v>
      </c>
      <c r="B31" s="13">
        <v>375900000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0.2596165530127874</v>
      </c>
      <c r="C5" s="10">
        <f>Assumptions!B6</f>
        <v>0.2596165530127874</v>
      </c>
      <c r="D5" s="10">
        <f>Assumptions!B6</f>
        <v>0.2596165530127874</v>
      </c>
      <c r="E5" s="10">
        <f>Assumptions!B6</f>
        <v>0.2596165530127874</v>
      </c>
      <c r="F5" s="10">
        <f>Assumptions!B6</f>
        <v>0.2596165530127874</v>
      </c>
    </row>
    <row r="6" spans="1:6" x14ac:dyDescent="0.25">
      <c r="A6" t="s">
        <v>43</v>
      </c>
      <c r="B6" s="18">
        <f>Assumptions!B29*(1+B5)</f>
        <v>24310599473.146797</v>
      </c>
      <c r="C6" s="18">
        <f>B6*(1+C5)</f>
        <v>30622033510.039654</v>
      </c>
      <c r="D6" s="18">
        <f>C6*(1+D5)</f>
        <v>38572020296.15822</v>
      </c>
      <c r="E6" s="18">
        <f>D6*(1+E5)</f>
        <v>48585955248.18609</v>
      </c>
      <c r="F6" s="18">
        <f>E6*(1+F5)</f>
        <v>61199673474.55371</v>
      </c>
    </row>
    <row r="7" spans="1:6" x14ac:dyDescent="0.25">
      <c r="A7" t="s">
        <v>5</v>
      </c>
      <c r="B7" s="10">
        <f>Assumptions!B7</f>
        <v>0.23271290213490192</v>
      </c>
      <c r="C7" s="10">
        <f>Assumptions!B7</f>
        <v>0.23271290213490192</v>
      </c>
      <c r="D7" s="10">
        <f>Assumptions!B7</f>
        <v>0.23271290213490192</v>
      </c>
      <c r="E7" s="10">
        <f>Assumptions!B7</f>
        <v>0.23271290213490192</v>
      </c>
      <c r="F7" s="10">
        <f>Assumptions!B7</f>
        <v>0.23271290213490192</v>
      </c>
    </row>
    <row r="8" spans="1:6" x14ac:dyDescent="0.25">
      <c r="A8" t="s">
        <v>44</v>
      </c>
      <c r="B8" s="18">
        <f>B6*B7</f>
        <v>5657390156.035209</v>
      </c>
      <c r="C8" s="18">
        <f>C6*C7</f>
        <v>7126142287.393545</v>
      </c>
      <c r="D8" s="18">
        <f>D6*D7</f>
        <v>8976206784.325317</v>
      </c>
      <c r="E8" s="18">
        <f>E6*E7</f>
        <v>11306578648.801853</v>
      </c>
      <c r="F8" s="18">
        <f>F6*F7</f>
        <v>14241953623.971771</v>
      </c>
    </row>
    <row r="9" spans="1:6" x14ac:dyDescent="0.25">
      <c r="A9" t="s">
        <v>45</v>
      </c>
      <c r="B9" s="18">
        <f>B8*(1-Assumptions!B8)</f>
        <v>5199639767.907192</v>
      </c>
      <c r="C9" s="18">
        <f>C8*(1-Assumptions!B8)</f>
        <v>6549552321.3594675</v>
      </c>
      <c r="D9" s="18">
        <f>D8*(1-Assumptions!B8)</f>
        <v>8249924518.807713</v>
      </c>
      <c r="E9" s="18">
        <f>E8*(1-Assumptions!B8)</f>
        <v>10391741484.99625</v>
      </c>
      <c r="F9" s="18">
        <f>F8*(1-Assumptions!B8)</f>
        <v>13089609589.130962</v>
      </c>
    </row>
    <row r="10" spans="1:6" x14ac:dyDescent="0.25">
      <c r="A10" t="s">
        <v>46</v>
      </c>
      <c r="B10" s="18">
        <f>B6*Assumptions!B9</f>
        <v>255281106.6836035</v>
      </c>
      <c r="C10" s="18">
        <f>C6*Assumptions!B9</f>
        <v>321556307.6500903</v>
      </c>
      <c r="D10" s="18">
        <f>D6*Assumptions!B9</f>
        <v>405037647.8417261</v>
      </c>
      <c r="E10" s="18">
        <f>E6*Assumptions!B9</f>
        <v>510192125.81480235</v>
      </c>
      <c r="F10" s="18">
        <f>F6*Assumptions!B9</f>
        <v>642646446.8931077</v>
      </c>
    </row>
    <row r="11" spans="1:6" x14ac:dyDescent="0.25">
      <c r="A11" t="s">
        <v>47</v>
      </c>
      <c r="B11" s="18">
        <f>-B6*Assumptions!B10</f>
        <v>-243105994.73146796</v>
      </c>
      <c r="C11" s="18">
        <f>-C6*Assumptions!B10</f>
        <v>-306220335.1003966</v>
      </c>
      <c r="D11" s="18">
        <f>-D6*Assumptions!B10</f>
        <v>-385720202.9615822</v>
      </c>
      <c r="E11" s="18">
        <f>-E6*Assumptions!B10</f>
        <v>-485859552.4818609</v>
      </c>
      <c r="F11" s="18">
        <f>-F6*Assumptions!B10</f>
        <v>-611996734.7455372</v>
      </c>
    </row>
    <row r="12" spans="1:6" x14ac:dyDescent="0.25">
      <c r="A12" t="s">
        <v>48</v>
      </c>
      <c r="B12" s="18">
        <f>-(B6-Assumptions!B29)*Assumptions!B11</f>
        <v>3673888392.576832</v>
      </c>
      <c r="C12" s="18">
        <f>-(C6-B6)*Assumptions!B11</f>
        <v>4627690633.211319</v>
      </c>
      <c r="D12" s="18">
        <f>-(D6-C6)*Assumptions!B11</f>
        <v>5829115723.815207</v>
      </c>
      <c r="E12" s="18">
        <f>-(E6-D6)*Assumptions!B11</f>
        <v>7342450655.144747</v>
      </c>
      <c r="F12" s="18">
        <f>-(F6-E6)*Assumptions!B11</f>
        <v>9248672384.899912</v>
      </c>
    </row>
    <row r="13" spans="1:6" x14ac:dyDescent="0.25">
      <c r="A13" s="19" t="s">
        <v>49</v>
      </c>
      <c r="B13" s="20">
        <f>B9+B10+B11+B12</f>
        <v>8885703272.43616</v>
      </c>
      <c r="C13" s="20">
        <f>C9+C10+C11+C12</f>
        <v>11192578927.12048</v>
      </c>
      <c r="D13" s="20">
        <f>D9+D10+D11+D12</f>
        <v>14098357687.503063</v>
      </c>
      <c r="E13" s="20">
        <f>E9+E10+E11+E12</f>
        <v>17758524713.473938</v>
      </c>
      <c r="F13" s="20">
        <f>F9+F10+F11+F12</f>
        <v>22368931686.178444</v>
      </c>
    </row>
    <row r="14" spans="1:6" x14ac:dyDescent="0.25">
      <c r="A14" t="s">
        <v>50</v>
      </c>
      <c r="B14" s="21">
        <f>1/(1+Assumptions!$B$26)^(1-0.5*Assumptions!$B$32)</f>
        <v>0.963886976200346</v>
      </c>
      <c r="C14" s="21">
        <f>1/(1+Assumptions!$B$26)^(2-0.5*Assumptions!$B$32)</f>
        <v>0.8955262832472913</v>
      </c>
      <c r="D14" s="21">
        <f>1/(1+Assumptions!$B$26)^(3-0.5*Assumptions!$B$32)</f>
        <v>0.8320138603263142</v>
      </c>
      <c r="E14" s="21">
        <f>1/(1+Assumptions!$B$26)^(4-0.5*Assumptions!$B$32)</f>
        <v>0.7730058589290313</v>
      </c>
      <c r="F14" s="21">
        <f>1/(1+Assumptions!$B$26)^(5-0.5*Assumptions!$B$32)</f>
        <v>0.718182816935593</v>
      </c>
    </row>
    <row r="15" spans="1:6" x14ac:dyDescent="0.25">
      <c r="A15" s="19" t="s">
        <v>51</v>
      </c>
      <c r="B15" s="20">
        <f>B13*B14</f>
        <v>8564813658.682009</v>
      </c>
      <c r="C15" s="20">
        <f>C13*C14</f>
        <v>10023248606.556158</v>
      </c>
      <c r="D15" s="20">
        <f>D13*D14</f>
        <v>11730029003.840591</v>
      </c>
      <c r="E15" s="20">
        <f>E13*E14</f>
        <v>13727443649.451351</v>
      </c>
      <c r="F15" s="20">
        <f>F13*F14</f>
        <v>16064982370.21948</v>
      </c>
    </row>
    <row r="17" spans="1:2" x14ac:dyDescent="0.25">
      <c r="A17" s="22" t="s">
        <v>52</v>
      </c>
      <c r="B17" s="23">
        <f>SUM(B15:F15)</f>
        <v>60110517288.74959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22368931686.178444</v>
      </c>
    </row>
    <row r="5" spans="1:2" x14ac:dyDescent="0.25">
      <c r="A5" t="s">
        <v>56</v>
      </c>
      <c r="B5" s="18">
        <f>IF(Assumptions!$B$33=0,B4,B4-Forecast!F11-Forecast!F10-Forecast!F12)</f>
        <v>13680258268.081446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0.15200329656056294</v>
      </c>
    </row>
    <row r="7" spans="1:2" x14ac:dyDescent="0.25">
      <c r="A7" t="s">
        <v>58</v>
      </c>
      <c r="B7" s="18">
        <f>-MAX(Forecast!F9,0)*B6</f>
        <v>-2079444354.5482771</v>
      </c>
    </row>
    <row r="8" spans="1:2" x14ac:dyDescent="0.25">
      <c r="A8" t="s">
        <v>59</v>
      </c>
      <c r="B8" s="18">
        <f>IF(OR(Assumptions!$B$33=0,Assumptions!B12&lt;=0),B5,MAX(B5+B7,0))</f>
        <v>11600813913.533169</v>
      </c>
    </row>
    <row r="9" spans="1:2" x14ac:dyDescent="0.25">
      <c r="A9" t="s">
        <v>60</v>
      </c>
      <c r="B9" s="18">
        <f>B8*(1+Assumptions!B12)/(Assumptions!B26-Assumptions!B12)</f>
        <v>231628610622.51602</v>
      </c>
    </row>
    <row r="10" spans="1:2" x14ac:dyDescent="0.25">
      <c r="A10" t="s">
        <v>61</v>
      </c>
      <c r="B10" s="18">
        <f>B9/(1+Assumptions!B26)^(5-0.5*Assumptions!B32)</f>
        <v>166351688059.7562</v>
      </c>
    </row>
    <row r="11" spans="1:2" x14ac:dyDescent="0.25">
      <c r="A11" t="s">
        <v>62</v>
      </c>
      <c r="B11" s="18">
        <f>Forecast!B17+B10</f>
        <v>226462205348.5058</v>
      </c>
    </row>
    <row r="12" spans="1:2" x14ac:dyDescent="0.25">
      <c r="A12" t="s">
        <v>63</v>
      </c>
      <c r="B12" s="18">
        <f>-Assumptions!B30</f>
        <v>8814000000</v>
      </c>
    </row>
    <row r="13" spans="1:2" x14ac:dyDescent="0.25">
      <c r="A13" t="s">
        <v>64</v>
      </c>
      <c r="B13" s="18">
        <f>B11+B12</f>
        <v>235276205348.5058</v>
      </c>
    </row>
    <row r="14" spans="1:2" x14ac:dyDescent="0.25">
      <c r="A14" s="19" t="s">
        <v>65</v>
      </c>
      <c r="B14" s="24">
        <f>B13/Assumptions!B31</f>
        <v>625.9010517385098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14884600070.86488</v>
      </c>
    </row>
    <row r="18" spans="1:2" x14ac:dyDescent="0.25">
      <c r="A18" t="s">
        <v>60</v>
      </c>
      <c r="B18" s="18">
        <f>B17*Assumptions!B13</f>
        <v>69782899947.41145</v>
      </c>
    </row>
    <row r="19" spans="1:2" x14ac:dyDescent="0.25">
      <c r="A19" t="s">
        <v>61</v>
      </c>
      <c r="B19" s="18">
        <f>B18/(1+Assumptions!B26)^(5-0.5*Assumptions!B32)</f>
        <v>50116879658.1666</v>
      </c>
    </row>
    <row r="20" spans="1:2" x14ac:dyDescent="0.25">
      <c r="A20" t="s">
        <v>62</v>
      </c>
      <c r="B20" s="18">
        <f>Forecast!B17+B19</f>
        <v>110227396946.9162</v>
      </c>
    </row>
    <row r="21" spans="1:2" x14ac:dyDescent="0.25">
      <c r="A21" t="s">
        <v>63</v>
      </c>
      <c r="B21" s="18">
        <f>-Assumptions!B30</f>
        <v>8814000000</v>
      </c>
    </row>
    <row r="22" spans="1:2" x14ac:dyDescent="0.25">
      <c r="A22" t="s">
        <v>64</v>
      </c>
      <c r="B22" s="18">
        <f>B20+B21</f>
        <v>119041396946.9162</v>
      </c>
    </row>
    <row r="23" spans="1:2" x14ac:dyDescent="0.25">
      <c r="A23" s="19" t="s">
        <v>65</v>
      </c>
      <c r="B23" s="25">
        <f>B22/Assumptions!B31</f>
        <v>316.68368434933814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96.89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625.9010517385098</v>
      </c>
    </row>
    <row r="29" spans="1:2" x14ac:dyDescent="0.25">
      <c r="A29" s="19" t="s">
        <v>73</v>
      </c>
      <c r="B29" s="12">
        <f>B28/B26-1</f>
        <v>5.459913837738774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0.056336</v>
      </c>
      <c r="B5" s="31">
        <v>826.6993581068008</v>
      </c>
      <c r="C5" s="31">
        <v>893.3137838121719</v>
      </c>
      <c r="D5" s="31">
        <v>980.9104231911847</v>
      </c>
      <c r="E5" s="31">
        <v>1101.4399599127578</v>
      </c>
      <c r="F5" s="31">
        <v>1278.055443289715</v>
      </c>
    </row>
    <row r="6" spans="1:6" x14ac:dyDescent="0.25">
      <c r="A6" s="30">
        <v>0.066336</v>
      </c>
      <c r="B6" s="31">
        <v>677.4141382762457</v>
      </c>
      <c r="C6" s="31">
        <v>714.6976466813638</v>
      </c>
      <c r="D6" s="31">
        <v>760.8003050618091</v>
      </c>
      <c r="E6" s="31">
        <v>819.3627796887707</v>
      </c>
      <c r="F6" s="31">
        <v>896.3493686123418</v>
      </c>
    </row>
    <row r="7" spans="1:6" x14ac:dyDescent="0.25">
      <c r="A7" s="30">
        <v>0.076336</v>
      </c>
      <c r="B7" s="31">
        <v>576.4327566572</v>
      </c>
      <c r="C7" s="31">
        <v>599.0410756723019</v>
      </c>
      <c r="D7" s="32">
        <v>625.898602934181</v>
      </c>
      <c r="E7" s="31">
        <v>658.3809022312882</v>
      </c>
      <c r="F7" s="31">
        <v>698.5290897947158</v>
      </c>
    </row>
    <row r="8" spans="1:6" x14ac:dyDescent="0.25">
      <c r="A8" s="30">
        <v>0.086336</v>
      </c>
      <c r="B8" s="31">
        <v>503.46394952919655</v>
      </c>
      <c r="C8" s="31">
        <v>517.8975465143224</v>
      </c>
      <c r="D8" s="31">
        <v>534.5600794916421</v>
      </c>
      <c r="E8" s="31">
        <v>554.0450240341983</v>
      </c>
      <c r="F8" s="31">
        <v>577.1770679532448</v>
      </c>
    </row>
    <row r="9" spans="1:6" x14ac:dyDescent="0.25">
      <c r="A9" s="30">
        <v>0.096336</v>
      </c>
      <c r="B9" s="31">
        <v>448.1939530715753</v>
      </c>
      <c r="C9" s="31">
        <v>457.7247887876243</v>
      </c>
      <c r="D9" s="31">
        <v>468.4891433240087</v>
      </c>
      <c r="E9" s="31">
        <v>480.76594188431415</v>
      </c>
      <c r="F9" s="31">
        <v>494.92505958851586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19300000000</v>
      </c>
      <c r="C5" s="18">
        <v>16930000000</v>
      </c>
      <c r="D5" s="18">
        <v>13294000000</v>
      </c>
      <c r="E5" s="18">
        <v>9657000000</v>
      </c>
      <c r="F5" s="8" t="s">
        <v>84</v>
      </c>
    </row>
    <row r="6" spans="1:6" x14ac:dyDescent="0.25">
      <c r="A6" t="s">
        <v>44</v>
      </c>
      <c r="B6" s="18">
        <v>4979000000</v>
      </c>
      <c r="C6" s="18">
        <v>4474000000</v>
      </c>
      <c r="D6" s="18">
        <v>3385000000</v>
      </c>
      <c r="E6" s="18">
        <v>1487000000</v>
      </c>
      <c r="F6" s="8" t="s">
        <v>85</v>
      </c>
    </row>
    <row r="7" spans="1:6" x14ac:dyDescent="0.25">
      <c r="A7" t="s">
        <v>86</v>
      </c>
      <c r="B7" s="18">
        <v>193000000</v>
      </c>
      <c r="C7" s="18">
        <v>235000000</v>
      </c>
      <c r="D7" s="18">
        <v>95000000</v>
      </c>
      <c r="E7" s="18">
        <v>106000000</v>
      </c>
      <c r="F7" s="8" t="s">
        <v>87</v>
      </c>
    </row>
    <row r="8" spans="1:6" x14ac:dyDescent="0.25">
      <c r="A8" t="s">
        <v>88</v>
      </c>
      <c r="B8" s="18">
        <v>44000000</v>
      </c>
      <c r="C8" s="18">
        <v>51000000</v>
      </c>
      <c r="D8" s="18">
        <v>52000000</v>
      </c>
      <c r="E8" s="18">
        <v>50000000</v>
      </c>
      <c r="F8" s="8" t="s">
        <v>89</v>
      </c>
    </row>
    <row r="9" spans="1:6" x14ac:dyDescent="0.25">
      <c r="A9" t="s">
        <v>90</v>
      </c>
      <c r="B9" s="18">
        <v>-2331000000</v>
      </c>
      <c r="C9" s="18">
        <v>-2666000000</v>
      </c>
      <c r="D9" s="18">
        <v>-1152000000</v>
      </c>
      <c r="E9" s="18">
        <v>-1335000000</v>
      </c>
      <c r="F9" s="8" t="s">
        <v>91</v>
      </c>
    </row>
    <row r="10" spans="1:6" x14ac:dyDescent="0.25">
      <c r="A10" t="s">
        <v>92</v>
      </c>
      <c r="B10" s="18">
        <v>2729000000</v>
      </c>
      <c r="C10" s="18">
        <v>2728000000</v>
      </c>
      <c r="D10" s="18">
        <v>2726000000</v>
      </c>
      <c r="E10" s="18">
        <v>2725000000</v>
      </c>
      <c r="F10" s="8" t="s">
        <v>93</v>
      </c>
    </row>
    <row r="11" spans="1:6" x14ac:dyDescent="0.25">
      <c r="A11" t="s">
        <v>94</v>
      </c>
      <c r="B11" s="18">
        <v>11543000000</v>
      </c>
      <c r="C11" s="18">
        <v>9308000000</v>
      </c>
      <c r="D11" s="18">
        <v>8047000000</v>
      </c>
      <c r="E11" s="18">
        <v>6500000000</v>
      </c>
      <c r="F11" s="8" t="s">
        <v>95</v>
      </c>
    </row>
    <row r="12" spans="1:6" x14ac:dyDescent="0.25">
      <c r="A12" t="s">
        <v>32</v>
      </c>
      <c r="B12" s="34">
        <v>375900000</v>
      </c>
      <c r="C12" s="34">
        <v>381800000</v>
      </c>
      <c r="D12" s="34">
        <v>378800000</v>
      </c>
      <c r="E12" s="34">
        <v>377609767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