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<sst xmlns="http://schemas.openxmlformats.org/spreadsheetml/2006/main" count="70" uniqueCount="67">
  <si>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Arch Capital Group Ltd. (ACGL)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</si>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</sst>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0.45997999999999994</v>
      </c>
    </row>
    <row r="9" spans="1:2" x14ac:dyDescent="0.25">
      <c r="A9" t="s">
        <v>8</v>
      </c>
      <c r="B9" s="8">
        <f>B6+B8*B7</f>
        <v>0.068397154</v>
      </c>
    </row>
    <row r="10" spans="1:2" x14ac:dyDescent="0.25">
      <c r="A10" t="s">
        <v>9</v>
      </c>
      <c r="B10" s="8">
        <f>MEDIAN('Source data'!B9:E9)</f>
        <v>0.24379387091251498</v>
      </c>
    </row>
    <row r="11" spans="1:2" x14ac:dyDescent="0.25">
      <c r="A11" t="s">
        <v>10</v>
      </c>
      <c r="B11" s="8">
        <f>IFERROR(MIN(MAX(MEDIAN('Source data'!B10:E10),0),1),0)</f>
        <v>0.010782289515944024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23376000000</v>
      </c>
    </row>
    <row r="15" spans="1:2" x14ac:dyDescent="0.25">
      <c r="A15" t="s">
        <v>14</v>
      </c>
      <c r="B15" s="10">
        <f>'Source data'!B8</f>
        <v>375900000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0.23941448382126349</v>
      </c>
      <c r="C22" s="8">
        <f>$B$10+($B$18-$B$10)*C21/$B$16</f>
        <v>0.235035096730012</v>
      </c>
      <c r="D22" s="8">
        <f>$B$10+($B$18-$B$10)*D21/$B$16</f>
        <v>0.23065570963876048</v>
      </c>
      <c r="E22" s="8">
        <f>$B$10+($B$18-$B$10)*E21/$B$16</f>
        <v>0.22627632254750898</v>
      </c>
      <c r="F22" s="8">
        <f>$B$10+($B$18-$B$10)*F21/$B$16</f>
        <v>0.2218969354562575</v>
      </c>
      <c r="G22" s="8">
        <f>$B$10+($B$18-$B$10)*G21/$B$16</f>
        <v>0.217517548365006</v>
      </c>
      <c r="H22" s="8">
        <f>$B$10+($B$18-$B$10)*H21/$B$16</f>
        <v>0.2131381612737545</v>
      </c>
      <c r="I22" s="8">
        <f>$B$10+($B$18-$B$10)*I21/$B$16</f>
        <v>0.208758774182503</v>
      </c>
      <c r="J22" s="8">
        <f>$B$10+($B$18-$B$10)*J21/$B$16</f>
        <v>0.2043793870912515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23376000000</v>
      </c>
      <c r="C24" s="9">
        <f>B24*(1+B23)</f>
        <v>27642119999.999996</v>
      </c>
      <c r="D24" s="9">
        <f>C24*(1+C23)</f>
        <v>32203069799.999996</v>
      </c>
      <c r="E24" s="9">
        <f>D24*(1+D23)</f>
        <v>36953022595.49999</v>
      </c>
      <c r="F24" s="9">
        <f>E24*(1+E23)</f>
        <v>41756915532.914986</v>
      </c>
      <c r="G24" s="9">
        <f>F24*(1+F23)</f>
        <v>46454568530.36792</v>
      </c>
      <c r="H24" s="9">
        <f>G24*(1+G23)</f>
        <v>50867752540.75287</v>
      </c>
      <c r="I24" s="9">
        <f>H24*(1+H23)</f>
        <v>54810003362.66121</v>
      </c>
      <c r="J24" s="9">
        <f>I24*(1+I23)</f>
        <v>58098603564.42088</v>
      </c>
      <c r="K24" s="9">
        <f>J24*(1+J23)</f>
        <v>60567794215.90877</v>
      </c>
    </row>
    <row r="25" spans="1:11" x14ac:dyDescent="0.25">
      <c r="A25" t="s">
        <v>33</v>
      </c>
      <c r="B25" s="9">
        <f>(B22-$B$9)*B24</f>
        <v>3997701101.9018555</v>
      </c>
      <c r="C25" s="9">
        <f>(C22-$B$9)*C24</f>
        <v>4606226009.496119</v>
      </c>
      <c r="D25" s="9">
        <f>(D22-$B$9)*D24</f>
        <v>5225223592.882186</v>
      </c>
      <c r="E25" s="9">
        <f>(E22-$B$9)*E24</f>
        <v>5834112482.694852</v>
      </c>
      <c r="F25" s="9">
        <f>(F22-$B$9)*F24</f>
        <v>6409677408.589853</v>
      </c>
      <c r="G25" s="9">
        <f>(G22-$B$9)*G24</f>
        <v>6927323579.304662</v>
      </c>
      <c r="H25" s="9">
        <f>(H22-$B$9)*H24</f>
        <v>7362649740.500655</v>
      </c>
      <c r="I25" s="9">
        <f>(I22-$B$9)*I24</f>
        <v>7693220874.191564</v>
      </c>
      <c r="J25" s="9">
        <f>(J22-$B$9)*J24</f>
        <v>7900377852.173297</v>
      </c>
      <c r="K25" s="9">
        <f>(K22-$B$9)*K24</f>
        <v>7970894094.755932</v>
      </c>
    </row>
    <row r="26" spans="1:11" x14ac:dyDescent="0.25">
      <c r="A26" t="s">
        <v>34</v>
      </c>
      <c r="B26" s="14">
        <f>1/(1+$B$9)^B21</f>
        <v>0.9359815273337952</v>
      </c>
      <c r="C26" s="14">
        <f>1/(1+$B$9)^C21</f>
        <v>0.8760614195101042</v>
      </c>
      <c r="D26" s="14">
        <f>1/(1+$B$9)^D21</f>
        <v>0.8199773054712801</v>
      </c>
      <c r="E26" s="14">
        <f>1/(1+$B$9)^E21</f>
        <v>0.7674836107540588</v>
      </c>
      <c r="F26" s="14">
        <f>1/(1+$B$9)^F21</f>
        <v>0.71835048219724</v>
      </c>
      <c r="G26" s="14">
        <f>1/(1+$B$9)^G21</f>
        <v>0.6723627814879409</v>
      </c>
      <c r="H26" s="14">
        <f>1/(1+$B$9)^H21</f>
        <v>0.6293191431394818</v>
      </c>
      <c r="I26" s="14">
        <f>1/(1+$B$9)^I21</f>
        <v>0.5890310927760876</v>
      </c>
      <c r="J26" s="14">
        <f>1/(1+$B$9)^J21</f>
        <v>0.5513222218636569</v>
      </c>
      <c r="K26" s="14">
        <f>1/(1+$B$9)^K21</f>
        <v>0.5160274152730071</v>
      </c>
    </row>
    <row r="27" spans="1:11" x14ac:dyDescent="0.25">
      <c r="A27" s="15" t="s">
        <v>35</v>
      </c>
      <c r="B27" s="16">
        <f>B25*B26</f>
        <v>3741774383.182095</v>
      </c>
      <c r="C27" s="16">
        <f>C25*C26</f>
        <v>4035336896.4635324</v>
      </c>
      <c r="D27" s="16">
        <f>D25*D26</f>
        <v>4284564762.176496</v>
      </c>
      <c r="E27" s="16">
        <f>E25*E26</f>
        <v>4477585713.763971</v>
      </c>
      <c r="F27" s="16">
        <f>F25*F26</f>
        <v>4604394857.189277</v>
      </c>
      <c r="G27" s="16">
        <f>G25*G26</f>
        <v>4657674550.048281</v>
      </c>
      <c r="H27" s="16">
        <f>H25*H26</f>
        <v>4633456425.928</v>
      </c>
      <c r="I27" s="16">
        <f>I25*I26</f>
        <v>4531546298.492864</v>
      </c>
      <c r="J27" s="16">
        <f>J25*J26</f>
        <v>4355653871.022608</v>
      </c>
      <c r="K27" s="16">
        <f>K25*K26</f>
        <v>4113199877.131779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23376000000</v>
      </c>
    </row>
    <row r="31" spans="1:2" x14ac:dyDescent="0.25">
      <c r="A31" t="s">
        <v>38</v>
      </c>
      <c r="B31" s="9">
        <f>SUM(B27:K27)</f>
        <v>43435187635.39891</v>
      </c>
    </row>
    <row r="32" spans="1:2" x14ac:dyDescent="0.25">
      <c r="A32" t="s">
        <v>39</v>
      </c>
      <c r="B32" s="9">
        <f>K24*(1+K23)</f>
        <v>62081989071.30648</v>
      </c>
    </row>
    <row r="33" spans="1:2" x14ac:dyDescent="0.25">
      <c r="A33" t="s">
        <v>40</v>
      </c>
      <c r="B33" s="9">
        <f>(B18-B9)*B32</f>
        <v>8170166447.124829</v>
      </c>
    </row>
    <row r="34" spans="1:2" x14ac:dyDescent="0.25">
      <c r="A34" t="s">
        <v>41</v>
      </c>
      <c r="B34" s="9">
        <f>B33/(B9-B13)</f>
        <v>188265028787.9438</v>
      </c>
    </row>
    <row r="35" spans="1:2" x14ac:dyDescent="0.25">
      <c r="A35" t="s">
        <v>42</v>
      </c>
      <c r="B35" s="9">
        <f>B34*K26</f>
        <v>97149916191.7409</v>
      </c>
    </row>
    <row r="36" spans="1:2" x14ac:dyDescent="0.25">
      <c r="A36" s="15" t="s">
        <v>43</v>
      </c>
      <c r="B36" s="16">
        <f>B30+B31+B35</f>
        <v>163961103827.13983</v>
      </c>
    </row>
    <row r="37" spans="1:2" x14ac:dyDescent="0.25">
      <c r="A37" s="15" t="s">
        <v>44</v>
      </c>
      <c r="B37" s="17">
        <f>B36/B15</f>
        <v>436.1827715539767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109.31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436.1827715539767</v>
      </c>
    </row>
    <row r="43" spans="1:2" x14ac:dyDescent="0.25">
      <c r="A43" s="15" t="s">
        <v>48</v>
      </c>
      <c r="B43" s="21">
        <f>B42/B40-1</f>
        <v>2.990328163516391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4359000000</v>
      </c>
      <c r="C5" s="9">
        <v>4272000000</v>
      </c>
      <c r="D5" s="9">
        <v>4403000000</v>
      </c>
      <c r="E5" s="9">
        <v>1436000000</v>
      </c>
      <c r="F5" s="6" t="s">
        <v>57</v>
      </c>
    </row>
    <row r="6" spans="1:6" x14ac:dyDescent="0.25">
      <c r="A6" t="s">
        <v>37</v>
      </c>
      <c r="B6" s="9">
        <v>23376000000</v>
      </c>
      <c r="C6" s="9">
        <v>19990000000</v>
      </c>
      <c r="D6" s="9">
        <v>17523000000</v>
      </c>
      <c r="E6" s="9">
        <v>12080000000</v>
      </c>
      <c r="F6" s="6" t="s">
        <v>58</v>
      </c>
    </row>
    <row r="7" spans="1:6" x14ac:dyDescent="0.25">
      <c r="A7" t="s">
        <v>59</v>
      </c>
      <c r="B7" s="9">
        <v>47000000</v>
      </c>
      <c r="C7" s="9">
        <v>1906000000</v>
      </c>
      <c r="D7" s="9">
        <v>40000000</v>
      </c>
      <c r="E7" s="9">
        <v>40000000</v>
      </c>
      <c r="F7" s="6" t="s">
        <v>60</v>
      </c>
    </row>
    <row r="8" spans="1:6" x14ac:dyDescent="0.25">
      <c r="A8" t="s">
        <v>14</v>
      </c>
      <c r="B8" s="10">
        <v>375900000</v>
      </c>
      <c r="C8" s="10">
        <v>381800000</v>
      </c>
      <c r="D8" s="10">
        <v>378800000</v>
      </c>
      <c r="E8" s="10">
        <v>377609767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0.2180590295147574</v>
      </c>
      <c r="C9" s="8">
        <f>IF(AND(ISNUMBER(C5),N(D6)&gt;0),C5/D6,"")</f>
        <v>0.24379387091251498</v>
      </c>
      <c r="D9" s="8">
        <f>IF(AND(ISNUMBER(D5),N(E6)&gt;0),D5/E6,"")</f>
        <v>0.3644867549668874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0.010782289515944024</v>
      </c>
      <c r="C10" s="8">
        <f>IF(AND(ISNUMBER(C9),N(C5)&gt;0,ISNUMBER(C7)),C7/C5,"")</f>
        <v>0.4461610486891386</v>
      </c>
      <c r="D10" s="8">
        <f>IF(AND(ISNUMBER(D9),N(D5)&gt;0,ISNUMBER(D7)),D7/D5,"")</f>
        <v>0.009084714967067909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