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<sst xmlns="http://schemas.openxmlformats.org/spreadsheetml/2006/main" count="120" uniqueCount="107">
  <si>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Accenture plc (ACN)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</si>
  <si>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</si>
  <si>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</si>
  <si>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</si>
  <si>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</si>
  <si>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</si>
  <si>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</si>
  <si>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</si>
  <si>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</si>
  <si>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</si>
  <si>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</si>
  <si>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</si>
  <si>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</si>
  <si>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</si>
  <si>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</si>
  <si>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</si>
  <si>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</si>
  <si>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</si>
  <si>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</si>
  <si>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</si>
  <si>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</si>
  <si>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</si>
  <si>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</si>
  <si>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</si>
  <si>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37.6x interest cover. Book interest / average debt was lower, at 2.8%.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</si>
  <si>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</si>
  <si>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</si>
  <si>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</si>
  <si>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</si>
  <si>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</si>
  <si>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</si>
  <si>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</si>
  <si>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2026-08-31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</si>
  <si>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</si>
  <si>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</si>
  <si>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</si>
  <si>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</si>
  <si>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</si>
  <si>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</si>
  <si>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</si>
  <si>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</si>
  <si>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</si>
  <si>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</si>
  <si>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</si>
  <si>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</si>
  <si>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</si>
  <si>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</si>
  <si>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</si>
  <si>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</si>
  <si>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</si>
  <si>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</si>
  <si>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</si>
  <si>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</si>
  <si>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</si>
  <si>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</si>
  <si>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</si>
  <si>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</si>
  <si>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</si>
  <si>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</si>
  <si>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</si>
  <si>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</si>
  <si>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</si>
  <si>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</si>
  <si>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</si>
  <si>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</si>
  <si>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</si>
  <si>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</si>
  <si>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</si>
  <si>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</si>
  <si>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</si>
  <si>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</si>
  <si>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</si>
  <si>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</si>
  <si>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</si>
  <si>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</si>
  <si>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</si>
  <si>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</si>
  <si>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</si>
  <si>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</si>
  <si>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</si>
  <si>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</si>
  <si>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</si>
  <si>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</si>
  <si>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</si>
  <si>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</si>
  <si>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</si>
  <si>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2026-08-31</t>
  </si>
  <si>
    <t>2025-08-31</t>
  </si>
  <si>
    <t>2024-08-31</t>
  </si>
  <si>
    <t>2023-08-31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</si>
  <si>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</si>
  <si>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</si>
  <si>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</si>
  <si>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</si>
  <si>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</si>
  <si>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</si>
  <si>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</si>
  <si>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</si>
  <si>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</si>
  <si>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</si>
  <si>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</si>
  <si>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</si>
  <si>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</si>
  <si>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</si>
  <si>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</si>
  <si>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0.87%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</si>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</sst>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0.04376468900844377</v>
      </c>
    </row>
    <row r="7" spans="1:2" x14ac:dyDescent="0.25">
      <c r="A7" t="s">
        <v>4</v>
      </c>
      <c r="B7" s="5">
        <v>0.14644963593398969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0.017378483316062197</v>
      </c>
    </row>
    <row r="10" spans="1:3" x14ac:dyDescent="0.25">
      <c r="A10" t="s">
        <v>7</v>
      </c>
      <c r="B10" s="5">
        <v>0.01</v>
      </c>
      <c r="C10" s="6" t="s">
        <v>8</v>
      </c>
    </row>
    <row r="11" spans="1:2" x14ac:dyDescent="0.25">
      <c r="A11" t="s">
        <v>9</v>
      </c>
      <c r="B11" s="5">
        <v>0.14475798042585894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12.672036876843448</v>
      </c>
    </row>
    <row r="14" spans="1:3" x14ac:dyDescent="0.25">
      <c r="A14" t="s">
        <v>12</v>
      </c>
      <c r="B14" s="5">
        <v>0.24044020347609402</v>
      </c>
      <c r="C14" s="6" t="s">
        <v>13</v>
      </c>
    </row>
    <row r="15" spans="1:3" x14ac:dyDescent="0.25">
      <c r="A15" t="s">
        <v>14</v>
      </c>
      <c r="B15" s="5">
        <v>0.008721048974024165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1.00268</v>
      </c>
      <c r="C19" s="6" t="s">
        <v>21</v>
      </c>
    </row>
    <row r="20" spans="1:2" x14ac:dyDescent="0.25">
      <c r="A20" t="s">
        <v>22</v>
      </c>
      <c r="B20" s="9">
        <f>B17+B19*B18</f>
        <v>0.09135336399999999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159680167936</v>
      </c>
    </row>
    <row r="23" spans="1:2" x14ac:dyDescent="0.25">
      <c r="A23" t="s">
        <v>26</v>
      </c>
      <c r="B23" s="10">
        <v>13396990000</v>
      </c>
    </row>
    <row r="24" spans="1:2" x14ac:dyDescent="0.25">
      <c r="A24" t="s">
        <v>27</v>
      </c>
      <c r="B24" s="9">
        <f>B22/(B22+B23)</f>
        <v>0.9225952739242812</v>
      </c>
    </row>
    <row r="25" spans="1:2" x14ac:dyDescent="0.25">
      <c r="A25" t="s">
        <v>28</v>
      </c>
      <c r="B25" s="9">
        <f>1-B24</f>
        <v>0.0774047260757188</v>
      </c>
    </row>
    <row r="26" spans="1:2" x14ac:dyDescent="0.25">
      <c r="A26" t="s">
        <v>29</v>
      </c>
      <c r="B26" s="11">
        <f>B24*B20+B25*B21*(1-B8)</f>
        <v>0.08751944878025891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74183445000</v>
      </c>
      <c r="C29" s="6" t="s">
        <v>32</v>
      </c>
    </row>
    <row r="30" spans="1:2" x14ac:dyDescent="0.25">
      <c r="A30" t="s">
        <v>33</v>
      </c>
      <c r="B30" s="10">
        <v>559221000</v>
      </c>
    </row>
    <row r="31" spans="1:2" x14ac:dyDescent="0.25">
      <c r="A31" t="s">
        <v>34</v>
      </c>
      <c r="B31" s="12">
        <v>617498483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0.04376468900844377</v>
      </c>
      <c r="C5" s="5">
        <v>0.05078521454956797</v>
      </c>
      <c r="D5" s="5">
        <v>0.047562062730871976</v>
      </c>
      <c r="E5" s="5">
        <v>0.044338910912175976</v>
      </c>
      <c r="F5" s="5">
        <v>0.04111575909347998</v>
      </c>
      <c r="G5" s="5">
        <v>0.03789260727478398</v>
      </c>
      <c r="H5" s="5">
        <v>0.03466945545608799</v>
      </c>
      <c r="I5" s="5">
        <v>0.031446303637391995</v>
      </c>
      <c r="J5" s="5">
        <v>0.028223151818696</v>
      </c>
      <c r="K5" s="5">
        <v>0.025</v>
      </c>
    </row>
    <row r="6" spans="1:11" x14ac:dyDescent="0.25">
      <c r="A6" t="s">
        <v>50</v>
      </c>
      <c r="B6" s="18">
        <f>Assumptions!B29*(1+B5)</f>
        <v>77430060400</v>
      </c>
      <c r="C6" s="18">
        <f>B6*(1+C5)</f>
        <v>81362362630</v>
      </c>
      <c r="D6" s="18">
        <f>C6*(1+D5)</f>
        <v>85232124425.34001</v>
      </c>
      <c r="E6" s="18">
        <f>D6*(1+E5)</f>
        <v>89011223997.09065</v>
      </c>
      <c r="F6" s="18">
        <f>E6*(1+F5)</f>
        <v>92670988039.57083</v>
      </c>
      <c r="G6" s="18">
        <f>F6*(1+G5)</f>
        <v>96182533395.1205</v>
      </c>
      <c r="H6" s="18">
        <f>G6*(1+H5)</f>
        <v>99517129452.31633</v>
      </c>
      <c r="I6" s="18">
        <f>H6*(1+I5)</f>
        <v>102646575322.19551</v>
      </c>
      <c r="J6" s="18">
        <f>I6*(1+J5)</f>
        <v>105543585201.18304</v>
      </c>
      <c r="K6" s="18">
        <f>J6*(1+K5)</f>
        <v>108182174831.21262</v>
      </c>
    </row>
    <row r="7" spans="1:11" x14ac:dyDescent="0.25">
      <c r="A7" t="s">
        <v>4</v>
      </c>
      <c r="B7" s="9">
        <f>Assumptions!B7</f>
        <v>0.14644963593398969</v>
      </c>
      <c r="C7" s="9">
        <f>Assumptions!B7</f>
        <v>0.14644963593398969</v>
      </c>
      <c r="D7" s="9">
        <f>Assumptions!B7</f>
        <v>0.14644963593398969</v>
      </c>
      <c r="E7" s="9">
        <f>Assumptions!B7</f>
        <v>0.14644963593398969</v>
      </c>
      <c r="F7" s="9">
        <f>Assumptions!B7</f>
        <v>0.14644963593398969</v>
      </c>
      <c r="G7" s="9">
        <f>Assumptions!B7</f>
        <v>0.14644963593398969</v>
      </c>
      <c r="H7" s="9">
        <f>Assumptions!B7</f>
        <v>0.14644963593398969</v>
      </c>
      <c r="I7" s="9">
        <f>Assumptions!B7</f>
        <v>0.14644963593398969</v>
      </c>
      <c r="J7" s="9">
        <f>Assumptions!B7</f>
        <v>0.14644963593398969</v>
      </c>
      <c r="K7" s="9">
        <f>Assumptions!B7</f>
        <v>0.14644963593398969</v>
      </c>
    </row>
    <row r="8" spans="1:11" x14ac:dyDescent="0.25">
      <c r="A8" t="s">
        <v>51</v>
      </c>
      <c r="B8" s="18">
        <f>B6*B7</f>
        <v>11339604155.926832</v>
      </c>
      <c r="C8" s="18">
        <f>C6*C7</f>
        <v>11915488385.892748</v>
      </c>
      <c r="D8" s="18">
        <f>D6*D7</f>
        <v>12482213591.971554</v>
      </c>
      <c r="E8" s="18">
        <f>E6*E7</f>
        <v>13035661348.412733</v>
      </c>
      <c r="F8" s="18">
        <f>F6*F7</f>
        <v>13571632460.038261</v>
      </c>
      <c r="G8" s="18">
        <f>G6*G7</f>
        <v>14085896998.924202</v>
      </c>
      <c r="H8" s="18">
        <f>H6*H7</f>
        <v>14574247377.48745</v>
      </c>
      <c r="I8" s="18">
        <f>I6*I7</f>
        <v>15032553585.806383</v>
      </c>
      <c r="J8" s="18">
        <f>J6*J7</f>
        <v>15456819627.881279</v>
      </c>
      <c r="K8" s="18">
        <f>K6*K7</f>
        <v>15843240118.57831</v>
      </c>
    </row>
    <row r="9" spans="1:11" x14ac:dyDescent="0.25">
      <c r="A9" t="s">
        <v>52</v>
      </c>
      <c r="B9" s="18">
        <f>B8*(1-Assumptions!B8)</f>
        <v>8958287283.182198</v>
      </c>
      <c r="C9" s="18">
        <f>C8*(1-Assumptions!B8)</f>
        <v>9413235824.85527</v>
      </c>
      <c r="D9" s="18">
        <f>D8*(1-Assumptions!B8)</f>
        <v>9860948737.657528</v>
      </c>
      <c r="E9" s="18">
        <f>E8*(1-Assumptions!B8)</f>
        <v>10298172465.24606</v>
      </c>
      <c r="F9" s="18">
        <f>F8*(1-Assumptions!B8)</f>
        <v>10721589643.430227</v>
      </c>
      <c r="G9" s="18">
        <f>G8*(1-Assumptions!B8)</f>
        <v>11127858629.15012</v>
      </c>
      <c r="H9" s="18">
        <f>H8*(1-Assumptions!B8)</f>
        <v>11513655428.215086</v>
      </c>
      <c r="I9" s="18">
        <f>I8*(1-Assumptions!B8)</f>
        <v>11875717332.787043</v>
      </c>
      <c r="J9" s="18">
        <f>J8*(1-Assumptions!B8)</f>
        <v>12210887506.02621</v>
      </c>
      <c r="K9" s="18">
        <f>K8*(1-Assumptions!B8)</f>
        <v>12516159693.676865</v>
      </c>
    </row>
    <row r="10" spans="1:11" x14ac:dyDescent="0.25">
      <c r="A10" t="s">
        <v>53</v>
      </c>
      <c r="B10" s="18">
        <f>B6*Assumptions!B9</f>
        <v>1345617012.8230882</v>
      </c>
      <c r="C10" s="18">
        <f>C6*Assumptions!B9</f>
        <v>1413954461.5208573</v>
      </c>
      <c r="D10" s="18">
        <f>D6*Assumptions!B9</f>
        <v>1481205052.3183086</v>
      </c>
      <c r="E10" s="18">
        <f>E6*Assumptions!B9</f>
        <v>1546880071.175715</v>
      </c>
      <c r="F10" s="18">
        <f>F6*Assumptions!B9</f>
        <v>1610481219.528681</v>
      </c>
      <c r="G10" s="18">
        <f>G6*Assumptions!B9</f>
        <v>1671506551.9036968</v>
      </c>
      <c r="H10" s="18">
        <f>H6*Assumptions!B9</f>
        <v>1729456773.8494813</v>
      </c>
      <c r="I10" s="18">
        <f>I6*Assumptions!B9</f>
        <v>1783841796.6876965</v>
      </c>
      <c r="J10" s="18">
        <f>J6*Assumptions!B9</f>
        <v>1834187434.5361485</v>
      </c>
      <c r="K10" s="18">
        <f>K6*Assumptions!B9</f>
        <v>1880042120.399552</v>
      </c>
    </row>
    <row r="11" spans="1:11" x14ac:dyDescent="0.25">
      <c r="A11" t="s">
        <v>54</v>
      </c>
      <c r="B11" s="18">
        <f>-B6*B19</f>
        <v>-774300604</v>
      </c>
      <c r="C11" s="18">
        <f>-C6*C19</f>
        <v>-917240399.884998</v>
      </c>
      <c r="D11" s="18">
        <f>-D6*D19</f>
        <v>-1069411246.3938365</v>
      </c>
      <c r="E11" s="18">
        <f>-E6*E19</f>
        <v>-1230185544.5788043</v>
      </c>
      <c r="F11" s="18">
        <f>-F6*F19</f>
        <v>-1398784115.9614148</v>
      </c>
      <c r="G11" s="18">
        <f>-G6*G19</f>
        <v>-1574278282.9243822</v>
      </c>
      <c r="H11" s="18">
        <f>-H6*H19</f>
        <v>-1755594925.571026</v>
      </c>
      <c r="I11" s="18">
        <f>-I6*I19</f>
        <v>-1941524587.2386043</v>
      </c>
      <c r="J11" s="18">
        <f>-J6*J19</f>
        <v>-2130732627.3399904</v>
      </c>
      <c r="K11" s="18">
        <f>-K6*K19</f>
        <v>-2321773342.3624105</v>
      </c>
    </row>
    <row r="12" spans="1:11" x14ac:dyDescent="0.25">
      <c r="A12" t="s">
        <v>55</v>
      </c>
      <c r="B12" s="18">
        <f>-(B6-Assumptions!B29)*Assumptions!B11</f>
        <v>-469973488.5234922</v>
      </c>
      <c r="C12" s="18">
        <f>-(C6-B6)*Assumptions!B11</f>
        <v>-569232129.2389015</v>
      </c>
      <c r="D12" s="18">
        <f>-(D6-C6)*Assumptions!B11</f>
        <v>-560178902.2225661</v>
      </c>
      <c r="E12" s="18">
        <f>-(E6-D6)*Assumptions!B11</f>
        <v>-547054821.8348511</v>
      </c>
      <c r="F12" s="18">
        <f>-(F6-E6)*Assumptions!B11</f>
        <v>-529780051.6246081</v>
      </c>
      <c r="G12" s="18">
        <f>-(G6-F6)*Assumptions!B11</f>
        <v>-508324213.84317464</v>
      </c>
      <c r="H12" s="18">
        <f>-(H6-G6)*Assumptions!B11</f>
        <v>-482709390.77570057</v>
      </c>
      <c r="I12" s="18">
        <f>-(I6-H6)*Assumptions!B11</f>
        <v>-453012263.9757556</v>
      </c>
      <c r="J12" s="18">
        <f>-(J6-I6)*Assumptions!B11</f>
        <v>-419365299.3559974</v>
      </c>
      <c r="K12" s="18">
        <f>-(K6-J6)*Assumptions!B11</f>
        <v>-381956906.0156951</v>
      </c>
    </row>
    <row r="13" spans="1:11" x14ac:dyDescent="0.25">
      <c r="A13" s="19" t="s">
        <v>56</v>
      </c>
      <c r="B13" s="20">
        <f>B9+B10+B11+B12</f>
        <v>9059630203.481792</v>
      </c>
      <c r="C13" s="20">
        <f>C9+C10+C11+C12</f>
        <v>9340717757.252228</v>
      </c>
      <c r="D13" s="20">
        <f>D9+D10+D11+D12</f>
        <v>9712563641.359432</v>
      </c>
      <c r="E13" s="20">
        <f>E9+E10+E11+E12</f>
        <v>10067812170.00812</v>
      </c>
      <c r="F13" s="20">
        <f>F9+F10+F11+F12</f>
        <v>10403506695.372885</v>
      </c>
      <c r="G13" s="20">
        <f>G9+G10+G11+G12</f>
        <v>10716762684.286259</v>
      </c>
      <c r="H13" s="20">
        <f>H9+H10+H11+H12</f>
        <v>11004807885.717842</v>
      </c>
      <c r="I13" s="20">
        <f>I9+I10+I11+I12</f>
        <v>11265022278.26038</v>
      </c>
      <c r="J13" s="20">
        <f>J9+J10+J11+J12</f>
        <v>11494977013.866371</v>
      </c>
      <c r="K13" s="20">
        <f>K9+K10+K11+K12</f>
        <v>11692471565.698309</v>
      </c>
    </row>
    <row r="14" spans="1:11" x14ac:dyDescent="0.25">
      <c r="A14" t="s">
        <v>57</v>
      </c>
      <c r="B14" s="21">
        <f>1/(1+Assumptions!$B$26)^(1-0.5*Assumptions!$B$32)</f>
        <v>0.9589180283948426</v>
      </c>
      <c r="C14" s="21">
        <f>1/(1+Assumptions!$B$26)^(2-0.5*Assumptions!$B$32)</f>
        <v>0.8817479351475938</v>
      </c>
      <c r="D14" s="21">
        <f>1/(1+Assumptions!$B$26)^(3-0.5*Assumptions!$B$32)</f>
        <v>0.8107881989021396</v>
      </c>
      <c r="E14" s="21">
        <f>1/(1+Assumptions!$B$26)^(4-0.5*Assumptions!$B$32)</f>
        <v>0.7455390336342989</v>
      </c>
      <c r="F14" s="21">
        <f>1/(1+Assumptions!$B$26)^(5-0.5*Assumptions!$B$32)</f>
        <v>0.6855408742073361</v>
      </c>
      <c r="G14" s="21">
        <f>1/(1+Assumptions!$B$26)^(6-0.5*Assumptions!$B$32)</f>
        <v>0.630371139547183</v>
      </c>
      <c r="H14" s="21">
        <f>1/(1+Assumptions!$B$26)^(7-0.5*Assumptions!$B$32)</f>
        <v>0.5796412563050668</v>
      </c>
      <c r="I14" s="21">
        <f>1/(1+Assumptions!$B$26)^(8-0.5*Assumptions!$B$32)</f>
        <v>0.5329939220445036</v>
      </c>
      <c r="J14" s="21">
        <f>1/(1+Assumptions!$B$26)^(9-0.5*Assumptions!$B$32)</f>
        <v>0.4901005886766434</v>
      </c>
      <c r="K14" s="21">
        <f>1/(1+Assumptions!$B$26)^(10-0.5*Assumptions!$B$32)</f>
        <v>0.450659148419213</v>
      </c>
    </row>
    <row r="15" spans="1:11" x14ac:dyDescent="0.25">
      <c r="A15" s="19" t="s">
        <v>58</v>
      </c>
      <c r="B15" s="20">
        <f>B13*B14</f>
        <v>8687442732.709127</v>
      </c>
      <c r="C15" s="20">
        <f>C13*C14</f>
        <v>8236158595.253614</v>
      </c>
      <c r="D15" s="20">
        <f>D13*D14</f>
        <v>7874831981.50022</v>
      </c>
      <c r="E15" s="20">
        <f>E13*E14</f>
        <v>7505946956.039487</v>
      </c>
      <c r="F15" s="20">
        <f>F13*F14</f>
        <v>7132029074.767802</v>
      </c>
      <c r="G15" s="20">
        <f>G13*G14</f>
        <v>6755537905.550257</v>
      </c>
      <c r="H15" s="20">
        <f>H13*H14</f>
        <v>6378840668.273396</v>
      </c>
      <c r="I15" s="20">
        <f>I13*I14</f>
        <v>6004188406.008709</v>
      </c>
      <c r="J15" s="20">
        <f>J13*J14</f>
        <v>5633695001.320394</v>
      </c>
      <c r="K15" s="20">
        <f>K13*K14</f>
        <v>5269319278.713462</v>
      </c>
    </row>
    <row r="17" spans="1:2" x14ac:dyDescent="0.25">
      <c r="A17" s="22" t="s">
        <v>59</v>
      </c>
      <c r="B17" s="23">
        <f>SUM(B15:K15)</f>
        <v>69477990600.13647</v>
      </c>
    </row>
    <row r="19" spans="1:11" x14ac:dyDescent="0.25">
      <c r="A19" t="s">
        <v>7</v>
      </c>
      <c r="B19" s="9">
        <f>Assumptions!$B$10+($B$20-Assumptions!$B$10)*0/9</f>
        <v>0.01</v>
      </c>
      <c r="C19" s="9">
        <f>Assumptions!$B$10+($B$20-Assumptions!$B$10)*1/9</f>
        <v>0.01127352218194795</v>
      </c>
      <c r="D19" s="9">
        <f>Assumptions!$B$10+($B$20-Assumptions!$B$10)*2/9</f>
        <v>0.0125470443638959</v>
      </c>
      <c r="E19" s="9">
        <f>Assumptions!$B$10+($B$20-Assumptions!$B$10)*3/9</f>
        <v>0.013820566545843849</v>
      </c>
      <c r="F19" s="9">
        <f>Assumptions!$B$10+($B$20-Assumptions!$B$10)*4/9</f>
        <v>0.0150940887277918</v>
      </c>
      <c r="G19" s="9">
        <f>Assumptions!$B$10+($B$20-Assumptions!$B$10)*5/9</f>
        <v>0.01636761090973975</v>
      </c>
      <c r="H19" s="9">
        <f>Assumptions!$B$10+($B$20-Assumptions!$B$10)*6/9</f>
        <v>0.0176411330916877</v>
      </c>
      <c r="I19" s="9">
        <f>Assumptions!$B$10+($B$20-Assumptions!$B$10)*7/9</f>
        <v>0.01891465527363565</v>
      </c>
      <c r="J19" s="9">
        <f>Assumptions!$B$10+($B$20-Assumptions!$B$10)*8/9</f>
        <v>0.0201881774555836</v>
      </c>
      <c r="K19" s="9">
        <f>Assumptions!$B$10+($B$20-Assumptions!$B$10)*9/9</f>
        <v>0.02146169963753155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0.02146169963753155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11692471565.698309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13256057953.385147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0.10397595592820918</v>
      </c>
    </row>
    <row r="7" spans="1:2" x14ac:dyDescent="0.25">
      <c r="A7" t="s">
        <v>66</v>
      </c>
      <c r="B7" s="18">
        <f>-MAX(B5,0)*B6</f>
        <v>-1378311297.542961</v>
      </c>
    </row>
    <row r="8" spans="1:2" x14ac:dyDescent="0.25">
      <c r="A8" t="s">
        <v>67</v>
      </c>
      <c r="B8" s="18">
        <f>IF(OR(Assumptions!$B$33=0,Assumptions!B12&lt;=0),B5,MAX(B5+B7,0))</f>
        <v>11877746655.842186</v>
      </c>
    </row>
    <row r="9" spans="1:2" x14ac:dyDescent="0.25">
      <c r="A9" t="s">
        <v>68</v>
      </c>
      <c r="B9" s="18">
        <f>B8*(1+Assumptions!B12)/(Assumptions!B26-Assumptions!B12)</f>
        <v>194734447596.1296</v>
      </c>
    </row>
    <row r="10" spans="1:2" x14ac:dyDescent="0.25">
      <c r="A10" t="s">
        <v>69</v>
      </c>
      <c r="B10" s="18">
        <f>B9/(1+Assumptions!B26)^(10-0.5*Assumptions!B32)</f>
        <v>87758860321.55763</v>
      </c>
    </row>
    <row r="11" spans="1:2" x14ac:dyDescent="0.25">
      <c r="A11" t="s">
        <v>70</v>
      </c>
      <c r="B11" s="18">
        <f>Forecast!B17+B10</f>
        <v>157236850921.6941</v>
      </c>
    </row>
    <row r="12" spans="1:2" x14ac:dyDescent="0.25">
      <c r="A12" t="s">
        <v>71</v>
      </c>
      <c r="B12" s="18">
        <f>-Assumptions!B30</f>
        <v>-559221000</v>
      </c>
    </row>
    <row r="13" spans="1:2" x14ac:dyDescent="0.25">
      <c r="A13" t="s">
        <v>72</v>
      </c>
      <c r="B13" s="18">
        <f>B11+B12</f>
        <v>156677629921.6941</v>
      </c>
    </row>
    <row r="14" spans="1:2" x14ac:dyDescent="0.25">
      <c r="A14" s="19" t="s">
        <v>73</v>
      </c>
      <c r="B14" s="24">
        <f>B13/Assumptions!B31</f>
        <v>253.72957867119828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17723282238.977863</v>
      </c>
    </row>
    <row r="18" spans="1:2" x14ac:dyDescent="0.25">
      <c r="A18" t="s">
        <v>68</v>
      </c>
      <c r="B18" s="18">
        <f>B17*Assumptions!B13</f>
        <v>224590086111.03198</v>
      </c>
    </row>
    <row r="19" spans="1:2" x14ac:dyDescent="0.25">
      <c r="A19" t="s">
        <v>69</v>
      </c>
      <c r="B19" s="18">
        <f>B18/(1+Assumptions!B26)^(10-0.5*Assumptions!B32)</f>
        <v>101213576950.19539</v>
      </c>
    </row>
    <row r="20" spans="1:2" x14ac:dyDescent="0.25">
      <c r="A20" t="s">
        <v>70</v>
      </c>
      <c r="B20" s="18">
        <f>Forecast!B17+B19</f>
        <v>170691567550.33185</v>
      </c>
    </row>
    <row r="21" spans="1:2" x14ac:dyDescent="0.25">
      <c r="A21" t="s">
        <v>71</v>
      </c>
      <c r="B21" s="18">
        <f>-Assumptions!B30</f>
        <v>-559221000</v>
      </c>
    </row>
    <row r="22" spans="1:2" x14ac:dyDescent="0.25">
      <c r="A22" t="s">
        <v>72</v>
      </c>
      <c r="B22" s="18">
        <f>B20+B21</f>
        <v>170132346550.33185</v>
      </c>
    </row>
    <row r="23" spans="1:2" x14ac:dyDescent="0.25">
      <c r="A23" s="19" t="s">
        <v>73</v>
      </c>
      <c r="B23" s="25">
        <f>B22/Assumptions!B31</f>
        <v>275.51864698318917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260.94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253.72957867119828</v>
      </c>
    </row>
    <row r="29" spans="1:2" x14ac:dyDescent="0.25">
      <c r="A29" s="19" t="s">
        <v>81</v>
      </c>
      <c r="B29" s="11">
        <f>B28/B26-1</f>
        <v>-0.027632487655406268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0.067519</v>
      </c>
      <c r="B5" s="31">
        <v>333.4599587644064</v>
      </c>
      <c r="C5" s="31">
        <v>350.1293276447677</v>
      </c>
      <c r="D5" s="31">
        <v>370.97344359782517</v>
      </c>
      <c r="E5" s="31">
        <v>397.6613597990488</v>
      </c>
      <c r="F5" s="31">
        <v>432.8886389570853</v>
      </c>
    </row>
    <row r="6" spans="1:6" x14ac:dyDescent="0.25">
      <c r="A6" s="30">
        <v>0.077519</v>
      </c>
      <c r="B6" s="31">
        <v>279.7427604883247</v>
      </c>
      <c r="C6" s="31">
        <v>289.4428311435676</v>
      </c>
      <c r="D6" s="31">
        <v>301.18448585202214</v>
      </c>
      <c r="E6" s="31">
        <v>315.61217758614504</v>
      </c>
      <c r="F6" s="31">
        <v>333.67349578559924</v>
      </c>
    </row>
    <row r="7" spans="1:6" x14ac:dyDescent="0.25">
      <c r="A7" s="30">
        <v>0.087519</v>
      </c>
      <c r="B7" s="31">
        <v>240.90635154780787</v>
      </c>
      <c r="C7" s="31">
        <v>246.77237725311463</v>
      </c>
      <c r="D7" s="32">
        <v>253.73136741858957</v>
      </c>
      <c r="E7" s="31">
        <v>262.0683490249264</v>
      </c>
      <c r="F7" s="31">
        <v>272.17689147772955</v>
      </c>
    </row>
    <row r="8" spans="1:6" x14ac:dyDescent="0.25">
      <c r="A8" s="30">
        <v>0.097519</v>
      </c>
      <c r="B8" s="31">
        <v>211.53607362953656</v>
      </c>
      <c r="C8" s="31">
        <v>215.1427470709863</v>
      </c>
      <c r="D8" s="31">
        <v>219.37304298030173</v>
      </c>
      <c r="E8" s="31">
        <v>224.3655051306132</v>
      </c>
      <c r="F8" s="31">
        <v>230.3029978290104</v>
      </c>
    </row>
    <row r="9" spans="1:6" x14ac:dyDescent="0.25">
      <c r="A9" s="30">
        <v>0.107519</v>
      </c>
      <c r="B9" s="31">
        <v>188.55864335531723</v>
      </c>
      <c r="C9" s="31">
        <v>190.76694857107378</v>
      </c>
      <c r="D9" s="31">
        <v>193.34804302942763</v>
      </c>
      <c r="E9" s="31">
        <v>196.37406180228322</v>
      </c>
      <c r="F9" s="31">
        <v>199.93703407809494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74183445000</v>
      </c>
      <c r="C5" s="18">
        <v>69672977000</v>
      </c>
      <c r="D5" s="18">
        <v>64896464000</v>
      </c>
      <c r="E5" s="18">
        <v>64111745000</v>
      </c>
      <c r="F5" s="6" t="s">
        <v>91</v>
      </c>
    </row>
    <row r="6" spans="1:6" x14ac:dyDescent="0.25">
      <c r="A6" t="s">
        <v>51</v>
      </c>
      <c r="B6" s="18">
        <v>11405960000</v>
      </c>
      <c r="C6" s="18">
        <v>10225664000</v>
      </c>
      <c r="D6" s="18">
        <v>9595847000</v>
      </c>
      <c r="E6" s="18">
        <v>8809889000</v>
      </c>
      <c r="F6" s="6" t="s">
        <v>92</v>
      </c>
    </row>
    <row r="7" spans="1:6" x14ac:dyDescent="0.25">
      <c r="A7" t="s">
        <v>93</v>
      </c>
      <c r="B7" s="18">
        <v>1239157000</v>
      </c>
      <c r="C7" s="18">
        <v>1368385000</v>
      </c>
      <c r="D7" s="18">
        <v>1077997000</v>
      </c>
      <c r="E7" s="18">
        <v>1061616000</v>
      </c>
      <c r="F7" s="6" t="s">
        <v>94</v>
      </c>
    </row>
    <row r="8" spans="1:6" x14ac:dyDescent="0.25">
      <c r="A8" t="s">
        <v>95</v>
      </c>
      <c r="B8" s="18">
        <v>742748000</v>
      </c>
      <c r="C8" s="18">
        <v>600039000</v>
      </c>
      <c r="D8" s="18">
        <v>516509000</v>
      </c>
      <c r="E8" s="18">
        <v>528172000</v>
      </c>
      <c r="F8" s="6" t="s">
        <v>96</v>
      </c>
    </row>
    <row r="9" spans="1:6" x14ac:dyDescent="0.25">
      <c r="A9" t="s">
        <v>97</v>
      </c>
      <c r="B9" s="18">
        <v>697867000</v>
      </c>
      <c r="C9" s="18">
        <v>1050348000</v>
      </c>
      <c r="D9" s="18">
        <v>2158890000</v>
      </c>
      <c r="E9" s="18">
        <v>1185363000</v>
      </c>
      <c r="F9" s="6" t="s">
        <v>98</v>
      </c>
    </row>
    <row r="10" spans="1:6" x14ac:dyDescent="0.25">
      <c r="A10" t="s">
        <v>99</v>
      </c>
      <c r="B10" s="18">
        <v>13396990000</v>
      </c>
      <c r="C10" s="18">
        <v>8182866000</v>
      </c>
      <c r="D10" s="18">
        <v>4120549000</v>
      </c>
      <c r="E10" s="18">
        <v>3149034000</v>
      </c>
      <c r="F10" s="6" t="s">
        <v>100</v>
      </c>
    </row>
    <row r="11" spans="1:6" x14ac:dyDescent="0.25">
      <c r="A11" t="s">
        <v>101</v>
      </c>
      <c r="B11" s="18">
        <v>12837769000</v>
      </c>
      <c r="C11" s="18">
        <v>11484674000</v>
      </c>
      <c r="D11" s="18">
        <v>5009865000</v>
      </c>
      <c r="E11" s="18">
        <v>9049607000</v>
      </c>
      <c r="F11" s="6" t="s">
        <v>102</v>
      </c>
    </row>
    <row r="12" spans="1:6" x14ac:dyDescent="0.25">
      <c r="A12" t="s">
        <v>34</v>
      </c>
      <c r="B12" s="34">
        <v>617498483</v>
      </c>
      <c r="C12" s="34">
        <v>632435108</v>
      </c>
      <c r="D12" s="34">
        <v>635940044</v>
      </c>
      <c r="E12" s="34">
        <v>638591616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