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<sst xmlns="http://schemas.openxmlformats.org/spreadsheetml/2006/main" count="112" uniqueCount="100">
  <si>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ACS, Actividades de Construcción y Servicios, S.A. (ACS.MC)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</si>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</sst>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0.14034502816170602</v>
      </c>
    </row>
    <row r="7" spans="1:2" x14ac:dyDescent="0.25">
      <c r="A7" t="s">
        <v>5</v>
      </c>
      <c r="B7" s="6">
        <v>0.020147866088449533</v>
      </c>
    </row>
    <row r="8" spans="1:2" x14ac:dyDescent="0.25">
      <c r="A8" t="s">
        <v>6</v>
      </c>
      <c r="B8" s="6">
        <v>0.19947434742046555</v>
      </c>
    </row>
    <row r="9" spans="1:2" x14ac:dyDescent="0.25">
      <c r="A9" t="s">
        <v>7</v>
      </c>
      <c r="B9" s="6">
        <v>0.01853569264765602</v>
      </c>
    </row>
    <row r="10" spans="1:2" x14ac:dyDescent="0.25">
      <c r="A10" t="s">
        <v>8</v>
      </c>
      <c r="B10" s="6">
        <v>0.013285776302525223</v>
      </c>
    </row>
    <row r="11" spans="1:2" x14ac:dyDescent="0.25">
      <c r="A11" t="s">
        <v>9</v>
      </c>
      <c r="B11" s="6">
        <v>-0.06380620948581428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10.951756767274732</v>
      </c>
    </row>
    <row r="14" spans="1:3" x14ac:dyDescent="0.25">
      <c r="A14" t="s">
        <v>12</v>
      </c>
      <c r="B14" s="6">
        <v>0.07084257365414726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0.7326699999999999</v>
      </c>
      <c r="C19" s="8" t="s">
        <v>19</v>
      </c>
    </row>
    <row r="20" spans="1:2" x14ac:dyDescent="0.25">
      <c r="A20" t="s">
        <v>20</v>
      </c>
      <c r="B20" s="10">
        <f>B17+B19*B18</f>
        <v>0.08962355</v>
      </c>
    </row>
    <row r="21" spans="1:3" x14ac:dyDescent="0.25">
      <c r="A21" t="s">
        <v>21</v>
      </c>
      <c r="B21" s="6">
        <v>0.05122133775983192</v>
      </c>
      <c r="C21" s="8" t="s">
        <v>22</v>
      </c>
    </row>
    <row r="22" spans="1:2" x14ac:dyDescent="0.25">
      <c r="A22" t="s">
        <v>23</v>
      </c>
      <c r="B22" s="11">
        <v>24361771008</v>
      </c>
    </row>
    <row r="23" spans="1:2" x14ac:dyDescent="0.25">
      <c r="A23" t="s">
        <v>24</v>
      </c>
      <c r="B23" s="11">
        <v>15333768000</v>
      </c>
    </row>
    <row r="24" spans="1:2" x14ac:dyDescent="0.25">
      <c r="A24" t="s">
        <v>25</v>
      </c>
      <c r="B24" s="10">
        <f>B22/(B22+B23)</f>
        <v>0.6137155866076104</v>
      </c>
    </row>
    <row r="25" spans="1:2" x14ac:dyDescent="0.25">
      <c r="A25" t="s">
        <v>26</v>
      </c>
      <c r="B25" s="10">
        <f>1-B24</f>
        <v>0.3862844133923896</v>
      </c>
    </row>
    <row r="26" spans="1:2" x14ac:dyDescent="0.25">
      <c r="A26" t="s">
        <v>27</v>
      </c>
      <c r="B26" s="12">
        <f>B24*B20+B25*B21*(1-B8)</f>
        <v>0.07084257365414726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49847681000</v>
      </c>
      <c r="C29" s="8" t="s">
        <v>30</v>
      </c>
    </row>
    <row r="30" spans="1:2" x14ac:dyDescent="0.25">
      <c r="A30" t="s">
        <v>31</v>
      </c>
      <c r="B30" s="11">
        <v>2119544000</v>
      </c>
    </row>
    <row r="31" spans="1:2" x14ac:dyDescent="0.25">
      <c r="A31" t="s">
        <v>32</v>
      </c>
      <c r="B31" s="13">
        <v>262470391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0.14034502816170602</v>
      </c>
      <c r="C5" s="10">
        <f>Assumptions!B6</f>
        <v>0.14034502816170602</v>
      </c>
      <c r="D5" s="10">
        <f>Assumptions!B6</f>
        <v>0.14034502816170602</v>
      </c>
      <c r="E5" s="10">
        <f>Assumptions!B6</f>
        <v>0.14034502816170602</v>
      </c>
      <c r="F5" s="10">
        <f>Assumptions!B6</f>
        <v>0.14034502816170602</v>
      </c>
    </row>
    <row r="6" spans="1:6" x14ac:dyDescent="0.25">
      <c r="A6" t="s">
        <v>43</v>
      </c>
      <c r="B6" s="18">
        <f>Assumptions!B29*(1+B5)</f>
        <v>56843555193.74074</v>
      </c>
      <c r="C6" s="18">
        <f>B6*(1+C5)</f>
        <v>64821265548.21777</v>
      </c>
      <c r="D6" s="18">
        <f>C6*(1+D5)</f>
        <v>73918607887.05981</v>
      </c>
      <c r="E6" s="18">
        <f>D6*(1+E5)</f>
        <v>84292716992.64333</v>
      </c>
      <c r="F6" s="18">
        <f>E6*(1+F5)</f>
        <v>96122780732.80257</v>
      </c>
    </row>
    <row r="7" spans="1:6" x14ac:dyDescent="0.25">
      <c r="A7" t="s">
        <v>5</v>
      </c>
      <c r="B7" s="10">
        <f>Assumptions!B7</f>
        <v>0.020147866088449533</v>
      </c>
      <c r="C7" s="10">
        <f>Assumptions!B7</f>
        <v>0.020147866088449533</v>
      </c>
      <c r="D7" s="10">
        <f>Assumptions!B7</f>
        <v>0.020147866088449533</v>
      </c>
      <c r="E7" s="10">
        <f>Assumptions!B7</f>
        <v>0.020147866088449533</v>
      </c>
      <c r="F7" s="10">
        <f>Assumptions!B7</f>
        <v>0.020147866088449533</v>
      </c>
    </row>
    <row r="8" spans="1:6" x14ac:dyDescent="0.25">
      <c r="A8" t="s">
        <v>44</v>
      </c>
      <c r="B8" s="18">
        <f>B6*B7</f>
        <v>1145276338.0348783</v>
      </c>
      <c r="C8" s="18">
        <f>C6*C7</f>
        <v>1306010177.949319</v>
      </c>
      <c r="D8" s="18">
        <f>D6*D7</f>
        <v>1489302213.1530907</v>
      </c>
      <c r="E8" s="18">
        <f>E6*E7</f>
        <v>1698318374.1993523</v>
      </c>
      <c r="F8" s="18">
        <f>F6*F7</f>
        <v>1936668914.253903</v>
      </c>
    </row>
    <row r="9" spans="1:6" x14ac:dyDescent="0.25">
      <c r="A9" t="s">
        <v>45</v>
      </c>
      <c r="B9" s="18">
        <f>B8*(1-Assumptions!B8)</f>
        <v>916823087.8892704</v>
      </c>
      <c r="C9" s="18">
        <f>C8*(1-Assumptions!B8)</f>
        <v>1045494649.9783924</v>
      </c>
      <c r="D9" s="18">
        <f>D8*(1-Assumptions!B8)</f>
        <v>1192224626.0725229</v>
      </c>
      <c r="E9" s="18">
        <f>E8*(1-Assumptions!B8)</f>
        <v>1359547424.7937505</v>
      </c>
      <c r="F9" s="18">
        <f>F8*(1-Assumptions!B8)</f>
        <v>1550353146.413604</v>
      </c>
    </row>
    <row r="10" spans="1:6" x14ac:dyDescent="0.25">
      <c r="A10" t="s">
        <v>46</v>
      </c>
      <c r="B10" s="18">
        <f>B6*Assumptions!B9</f>
        <v>1053634668.0712492</v>
      </c>
      <c r="C10" s="18">
        <f>C6*Assumptions!B9</f>
        <v>1201507055.2338586</v>
      </c>
      <c r="D10" s="18">
        <f>D6*Assumptions!B9</f>
        <v>1370132596.7371428</v>
      </c>
      <c r="E10" s="18">
        <f>E6*Assumptions!B9</f>
        <v>1562423894.6114883</v>
      </c>
      <c r="F10" s="18">
        <f>F6*Assumptions!B9</f>
        <v>1781702320.1012602</v>
      </c>
    </row>
    <row r="11" spans="1:6" x14ac:dyDescent="0.25">
      <c r="A11" t="s">
        <v>47</v>
      </c>
      <c r="B11" s="18">
        <f>-B6*Assumptions!B10</f>
        <v>-755210758.5442853</v>
      </c>
      <c r="C11" s="18">
        <f>-C6*Assumptions!B10</f>
        <v>-861200833.7202064</v>
      </c>
      <c r="D11" s="18">
        <f>-D6*Assumptions!B10</f>
        <v>-982066088.9815533</v>
      </c>
      <c r="E11" s="18">
        <f>-E6*Assumptions!B10</f>
        <v>-1119894181.8963258</v>
      </c>
      <c r="F11" s="18">
        <f>-F6*Assumptions!B10</f>
        <v>-1277065762.3926964</v>
      </c>
    </row>
    <row r="12" spans="1:6" x14ac:dyDescent="0.25">
      <c r="A12" t="s">
        <v>48</v>
      </c>
      <c r="B12" s="18">
        <f>-(B6-Assumptions!B29)*Assumptions!B11</f>
        <v>446380214.3422236</v>
      </c>
      <c r="C12" s="18">
        <f>-(C6-B6)*Assumptions!B11</f>
        <v>509027458.09491146</v>
      </c>
      <c r="D12" s="18">
        <f>-(D6-C6)*Assumptions!B11</f>
        <v>580466931.036323</v>
      </c>
      <c r="E12" s="18">
        <f>-(E6-D6)*Assumptions!B11</f>
        <v>661932578.8195549</v>
      </c>
      <c r="F12" s="18">
        <f>-(F6-E6)*Assumptions!B11</f>
        <v>754831525.2351362</v>
      </c>
    </row>
    <row r="13" spans="1:6" x14ac:dyDescent="0.25">
      <c r="A13" s="19" t="s">
        <v>49</v>
      </c>
      <c r="B13" s="20">
        <f>B9+B10+B11+B12</f>
        <v>1661627211.7584581</v>
      </c>
      <c r="C13" s="20">
        <f>C9+C10+C11+C12</f>
        <v>1894828329.586956</v>
      </c>
      <c r="D13" s="20">
        <f>D9+D10+D11+D12</f>
        <v>2160758064.864435</v>
      </c>
      <c r="E13" s="20">
        <f>E9+E10+E11+E12</f>
        <v>2464009716.3284683</v>
      </c>
      <c r="F13" s="20">
        <f>F9+F10+F11+F12</f>
        <v>2809821229.3573036</v>
      </c>
    </row>
    <row r="14" spans="1:6" x14ac:dyDescent="0.25">
      <c r="A14" t="s">
        <v>50</v>
      </c>
      <c r="B14" s="21">
        <f>1/(1+Assumptions!$B$26)^(1-0.5*Assumptions!$B$32)</f>
        <v>0.9663560843964552</v>
      </c>
      <c r="C14" s="21">
        <f>1/(1+Assumptions!$B$26)^(2-0.5*Assumptions!$B$32)</f>
        <v>0.9024259103734156</v>
      </c>
      <c r="D14" s="21">
        <f>1/(1+Assumptions!$B$26)^(3-0.5*Assumptions!$B$32)</f>
        <v>0.8427250957103565</v>
      </c>
      <c r="E14" s="21">
        <f>1/(1+Assumptions!$B$26)^(4-0.5*Assumptions!$B$32)</f>
        <v>0.7869738432556321</v>
      </c>
      <c r="F14" s="21">
        <f>1/(1+Assumptions!$B$26)^(5-0.5*Assumptions!$B$32)</f>
        <v>0.7349108660950597</v>
      </c>
    </row>
    <row r="15" spans="1:6" x14ac:dyDescent="0.25">
      <c r="A15" s="19" t="s">
        <v>51</v>
      </c>
      <c r="B15" s="20">
        <f>B13*B14</f>
        <v>1605723566.081503</v>
      </c>
      <c r="C15" s="20">
        <f>C13*C14</f>
        <v>1709942180.3288472</v>
      </c>
      <c r="D15" s="20">
        <f>D13*D14</f>
        <v>1820925047.019806</v>
      </c>
      <c r="E15" s="20">
        <f>E13*E14</f>
        <v>1939111196.2782347</v>
      </c>
      <c r="F15" s="20">
        <f>F13*F14</f>
        <v>2064968153.2392614</v>
      </c>
    </row>
    <row r="17" spans="1:2" x14ac:dyDescent="0.25">
      <c r="A17" s="22" t="s">
        <v>52</v>
      </c>
      <c r="B17" s="23">
        <f>SUM(B15:F15)</f>
        <v>9140670142.94765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2809821229.3573036</v>
      </c>
    </row>
    <row r="5" spans="1:2" x14ac:dyDescent="0.25">
      <c r="A5" t="s">
        <v>56</v>
      </c>
      <c r="B5" s="18">
        <f>IF(Assumptions!$B$33=0,B4,B4-Forecast!F11-Forecast!F10-Forecast!F12)</f>
        <v>1550353146.413604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0.352895140739095</v>
      </c>
    </row>
    <row r="7" spans="1:2" x14ac:dyDescent="0.25">
      <c r="A7" t="s">
        <v>58</v>
      </c>
      <c r="B7" s="18">
        <f>-MAX(Forecast!F9,0)*B6</f>
        <v>-547112091.7989275</v>
      </c>
    </row>
    <row r="8" spans="1:2" x14ac:dyDescent="0.25">
      <c r="A8" t="s">
        <v>59</v>
      </c>
      <c r="B8" s="18">
        <f>IF(OR(Assumptions!$B$33=0,Assumptions!B12&lt;=0),B5,MAX(B5+B7,0))</f>
        <v>1003241054.6146765</v>
      </c>
    </row>
    <row r="9" spans="1:2" x14ac:dyDescent="0.25">
      <c r="A9" t="s">
        <v>60</v>
      </c>
      <c r="B9" s="18">
        <f>B8*(1+Assumptions!B12)/(Assumptions!B26-Assumptions!B12)</f>
        <v>22431595763.756027</v>
      </c>
    </row>
    <row r="10" spans="1:2" x14ac:dyDescent="0.25">
      <c r="A10" t="s">
        <v>61</v>
      </c>
      <c r="B10" s="18">
        <f>B9/(1+Assumptions!B26)^(5-0.5*Assumptions!B32)</f>
        <v>16485223470.636215</v>
      </c>
    </row>
    <row r="11" spans="1:2" x14ac:dyDescent="0.25">
      <c r="A11" t="s">
        <v>62</v>
      </c>
      <c r="B11" s="18">
        <f>Forecast!B17+B10</f>
        <v>25625893613.583866</v>
      </c>
    </row>
    <row r="12" spans="1:2" x14ac:dyDescent="0.25">
      <c r="A12" t="s">
        <v>63</v>
      </c>
      <c r="B12" s="18">
        <f>-Assumptions!B30</f>
        <v>-2119544000</v>
      </c>
    </row>
    <row r="13" spans="1:2" x14ac:dyDescent="0.25">
      <c r="A13" t="s">
        <v>64</v>
      </c>
      <c r="B13" s="18">
        <f>B11+B12</f>
        <v>23506349613.583866</v>
      </c>
    </row>
    <row r="14" spans="1:2" x14ac:dyDescent="0.25">
      <c r="A14" s="19" t="s">
        <v>65</v>
      </c>
      <c r="B14" s="24">
        <f>B13/Assumptions!B31</f>
        <v>89.55810034048322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3718371234.355163</v>
      </c>
    </row>
    <row r="18" spans="1:2" x14ac:dyDescent="0.25">
      <c r="A18" t="s">
        <v>60</v>
      </c>
      <c r="B18" s="18">
        <f>B17*Assumptions!B13</f>
        <v>40722697329.08886</v>
      </c>
    </row>
    <row r="19" spans="1:2" x14ac:dyDescent="0.25">
      <c r="A19" t="s">
        <v>61</v>
      </c>
      <c r="B19" s="18">
        <f>B18/(1+Assumptions!B26)^(5-0.5*Assumptions!B32)</f>
        <v>29927552763.847668</v>
      </c>
    </row>
    <row r="20" spans="1:2" x14ac:dyDescent="0.25">
      <c r="A20" t="s">
        <v>62</v>
      </c>
      <c r="B20" s="18">
        <f>Forecast!B17+B19</f>
        <v>39068222906.79532</v>
      </c>
    </row>
    <row r="21" spans="1:2" x14ac:dyDescent="0.25">
      <c r="A21" t="s">
        <v>63</v>
      </c>
      <c r="B21" s="18">
        <f>-Assumptions!B30</f>
        <v>-2119544000</v>
      </c>
    </row>
    <row r="22" spans="1:2" x14ac:dyDescent="0.25">
      <c r="A22" t="s">
        <v>64</v>
      </c>
      <c r="B22" s="18">
        <f>B20+B21</f>
        <v>36948678906.79532</v>
      </c>
    </row>
    <row r="23" spans="1:2" x14ac:dyDescent="0.25">
      <c r="A23" s="19" t="s">
        <v>65</v>
      </c>
      <c r="B23" s="25">
        <f>B22/Assumptions!B31</f>
        <v>140.77275065588375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89.55810034048322</v>
      </c>
    </row>
    <row r="29" spans="1:2" x14ac:dyDescent="0.25">
      <c r="A29" s="19" t="s">
        <v>73</v>
      </c>
      <c r="B29" s="12">
        <f>B28/B26-1</f>
        <v>-0.04113382933101484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0.050843</v>
      </c>
      <c r="B5" s="31">
        <v>122.86360734928627</v>
      </c>
      <c r="C5" s="31">
        <v>123.32830330483044</v>
      </c>
      <c r="D5" s="31">
        <v>123.79299926037459</v>
      </c>
      <c r="E5" s="31">
        <v>124.25769521591876</v>
      </c>
      <c r="F5" s="31">
        <v>124.72239117146286</v>
      </c>
    </row>
    <row r="6" spans="1:6" x14ac:dyDescent="0.25">
      <c r="A6" s="30">
        <v>0.060843</v>
      </c>
      <c r="B6" s="31">
        <v>103.16157070481187</v>
      </c>
      <c r="C6" s="31">
        <v>103.53368785279356</v>
      </c>
      <c r="D6" s="31">
        <v>103.90580500077523</v>
      </c>
      <c r="E6" s="31">
        <v>104.27792214875689</v>
      </c>
      <c r="F6" s="31">
        <v>104.65003929673856</v>
      </c>
    </row>
    <row r="7" spans="1:6" x14ac:dyDescent="0.25">
      <c r="A7" s="30">
        <v>0.070843</v>
      </c>
      <c r="B7" s="31">
        <v>88.9448178548055</v>
      </c>
      <c r="C7" s="31">
        <v>89.25119563673364</v>
      </c>
      <c r="D7" s="32">
        <v>89.55757341866176</v>
      </c>
      <c r="E7" s="31">
        <v>89.86395120058991</v>
      </c>
      <c r="F7" s="31">
        <v>90.17032898251799</v>
      </c>
    </row>
    <row r="8" spans="1:6" x14ac:dyDescent="0.25">
      <c r="A8" s="30">
        <v>0.080843</v>
      </c>
      <c r="B8" s="31">
        <v>78.18218606427115</v>
      </c>
      <c r="C8" s="31">
        <v>78.43966762665113</v>
      </c>
      <c r="D8" s="31">
        <v>78.69714918903108</v>
      </c>
      <c r="E8" s="31">
        <v>78.95463075141105</v>
      </c>
      <c r="F8" s="31">
        <v>79.212112313791</v>
      </c>
    </row>
    <row r="9" spans="1:6" x14ac:dyDescent="0.25">
      <c r="A9" s="30">
        <v>0.090843</v>
      </c>
      <c r="B9" s="31">
        <v>69.73659543242199</v>
      </c>
      <c r="C9" s="31">
        <v>69.95643139142082</v>
      </c>
      <c r="D9" s="31">
        <v>70.17626735041968</v>
      </c>
      <c r="E9" s="31">
        <v>70.3961033094185</v>
      </c>
      <c r="F9" s="31">
        <v>70.61593926841735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49847681000</v>
      </c>
      <c r="C5" s="18">
        <v>41633120000</v>
      </c>
      <c r="D5" s="18">
        <v>35737759000</v>
      </c>
      <c r="E5" s="18">
        <v>33615234000</v>
      </c>
      <c r="F5" s="8" t="s">
        <v>84</v>
      </c>
    </row>
    <row r="6" spans="1:6" x14ac:dyDescent="0.25">
      <c r="A6" t="s">
        <v>44</v>
      </c>
      <c r="B6" s="18">
        <v>1448339000</v>
      </c>
      <c r="C6" s="18">
        <v>824683000</v>
      </c>
      <c r="D6" s="18">
        <v>838578000</v>
      </c>
      <c r="E6" s="18">
        <v>277765000</v>
      </c>
      <c r="F6" s="8" t="s">
        <v>85</v>
      </c>
    </row>
    <row r="7" spans="1:6" x14ac:dyDescent="0.25">
      <c r="A7" t="s">
        <v>86</v>
      </c>
      <c r="B7" s="18">
        <v>969658000</v>
      </c>
      <c r="C7" s="18">
        <v>866203000</v>
      </c>
      <c r="D7" s="18">
        <v>551019000</v>
      </c>
      <c r="E7" s="18">
        <v>620750000</v>
      </c>
      <c r="F7" s="8" t="s">
        <v>87</v>
      </c>
    </row>
    <row r="8" spans="1:6" x14ac:dyDescent="0.25">
      <c r="A8" t="s">
        <v>88</v>
      </c>
      <c r="B8" s="18">
        <v>743758000</v>
      </c>
      <c r="C8" s="18">
        <v>660851000</v>
      </c>
      <c r="D8" s="18">
        <v>495532000</v>
      </c>
      <c r="E8" s="18">
        <v>285175000</v>
      </c>
      <c r="F8" s="8" t="s">
        <v>89</v>
      </c>
    </row>
    <row r="9" spans="1:6" x14ac:dyDescent="0.25">
      <c r="A9" t="s">
        <v>90</v>
      </c>
      <c r="B9" s="18">
        <v>-524140000</v>
      </c>
      <c r="C9" s="18">
        <v>-596059000</v>
      </c>
      <c r="D9" s="18">
        <v>72652000</v>
      </c>
      <c r="E9" s="18">
        <v>-44135000</v>
      </c>
      <c r="F9" s="8" t="s">
        <v>91</v>
      </c>
    </row>
    <row r="10" spans="1:6" x14ac:dyDescent="0.25">
      <c r="A10" t="s">
        <v>92</v>
      </c>
      <c r="B10" s="18">
        <v>15333768000</v>
      </c>
      <c r="C10" s="18">
        <v>14204703000</v>
      </c>
      <c r="D10" s="18">
        <v>10392009000</v>
      </c>
      <c r="E10" s="18">
        <v>10996610000</v>
      </c>
      <c r="F10" s="8" t="s">
        <v>93</v>
      </c>
    </row>
    <row r="11" spans="1:6" x14ac:dyDescent="0.25">
      <c r="A11" t="s">
        <v>94</v>
      </c>
      <c r="B11" s="18">
        <v>13214224000</v>
      </c>
      <c r="C11" s="18">
        <v>12343146000</v>
      </c>
      <c r="D11" s="18">
        <v>10049189000</v>
      </c>
      <c r="E11" s="18">
        <v>10416998000</v>
      </c>
      <c r="F11" s="8" t="s">
        <v>95</v>
      </c>
    </row>
    <row r="12" spans="1:6" x14ac:dyDescent="0.25">
      <c r="A12" t="s">
        <v>32</v>
      </c>
      <c r="B12" s="34">
        <v>262470391</v>
      </c>
      <c r="C12" s="34">
        <v>271394667</v>
      </c>
      <c r="D12" s="34">
        <v>275601590</v>
      </c>
      <c r="E12" s="34">
        <v>297375375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2026-09-19T01:05:20Z</dcterms:modified>
</cp:coreProperties>
</file>