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<sst xmlns="http://schemas.openxmlformats.org/spreadsheetml/2006/main" count="112" uniqueCount="100">
  <si>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Acerinox, S.A. (ACX.MC)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</si>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</sst>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-0.12701397345011556</v>
      </c>
    </row>
    <row r="7" spans="1:2" x14ac:dyDescent="0.25">
      <c r="A7" t="s">
        <v>5</v>
      </c>
      <c r="B7" s="6">
        <v>0.06845013340902467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0.02786502922519858</v>
      </c>
    </row>
    <row r="10" spans="1:2" x14ac:dyDescent="0.25">
      <c r="A10" t="s">
        <v>8</v>
      </c>
      <c r="B10" s="6">
        <v>0.03340735564824375</v>
      </c>
    </row>
    <row r="11" spans="1:2" x14ac:dyDescent="0.25">
      <c r="A11" t="s">
        <v>9</v>
      </c>
      <c r="B11" s="6">
        <v>0.03870530195393835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15.419829183744906</v>
      </c>
    </row>
    <row r="14" spans="1:3" x14ac:dyDescent="0.25">
      <c r="A14" t="s">
        <v>12</v>
      </c>
      <c r="B14" s="6">
        <v>0.08418074908919174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1.05762</v>
      </c>
      <c r="C19" s="8" t="s">
        <v>19</v>
      </c>
    </row>
    <row r="20" spans="1:2" x14ac:dyDescent="0.25">
      <c r="A20" t="s">
        <v>20</v>
      </c>
      <c r="B20" s="10">
        <f>B17+B19*B18</f>
        <v>0.11074530000000002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4280547328</v>
      </c>
    </row>
    <row r="23" spans="1:2" x14ac:dyDescent="0.25">
      <c r="A23" t="s">
        <v>24</v>
      </c>
      <c r="B23" s="11">
        <v>2158489000</v>
      </c>
    </row>
    <row r="24" spans="1:2" x14ac:dyDescent="0.25">
      <c r="A24" t="s">
        <v>25</v>
      </c>
      <c r="B24" s="10">
        <f>B22/(B22+B23)</f>
        <v>0.6647807389105943</v>
      </c>
    </row>
    <row r="25" spans="1:2" x14ac:dyDescent="0.25">
      <c r="A25" t="s">
        <v>26</v>
      </c>
      <c r="B25" s="10">
        <f>1-B24</f>
        <v>0.3352192610894057</v>
      </c>
    </row>
    <row r="26" spans="1:2" x14ac:dyDescent="0.25">
      <c r="A26" t="s">
        <v>27</v>
      </c>
      <c r="B26" s="12">
        <f>B24*B20+B25*B21*(1-B8)</f>
        <v>0.08418074908919174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5780513000</v>
      </c>
      <c r="C29" s="8" t="s">
        <v>30</v>
      </c>
    </row>
    <row r="30" spans="1:2" x14ac:dyDescent="0.25">
      <c r="A30" t="s">
        <v>31</v>
      </c>
      <c r="B30" s="11">
        <v>1181958000</v>
      </c>
    </row>
    <row r="31" spans="1:2" x14ac:dyDescent="0.25">
      <c r="A31" t="s">
        <v>32</v>
      </c>
      <c r="B31" s="13">
        <v>249310145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-0.12701397345011556</v>
      </c>
      <c r="C5" s="10">
        <f>Assumptions!B6</f>
        <v>-0.12701397345011556</v>
      </c>
      <c r="D5" s="10">
        <f>Assumptions!B6</f>
        <v>-0.12701397345011556</v>
      </c>
      <c r="E5" s="10">
        <f>Assumptions!B6</f>
        <v>-0.12701397345011556</v>
      </c>
      <c r="F5" s="10">
        <f>Assumptions!B6</f>
        <v>-0.12701397345011556</v>
      </c>
    </row>
    <row r="6" spans="1:6" x14ac:dyDescent="0.25">
      <c r="A6" t="s">
        <v>43</v>
      </c>
      <c r="B6" s="18">
        <f>Assumptions!B29*(1+B5)</f>
        <v>5046307075.289952</v>
      </c>
      <c r="C6" s="18">
        <f>B6*(1+C5)</f>
        <v>4405355562.407944</v>
      </c>
      <c r="D6" s="18">
        <f>C6*(1+D5)</f>
        <v>3845813847.9659424</v>
      </c>
      <c r="E6" s="18">
        <f>D6*(1+E5)</f>
        <v>3357341749.9863095</v>
      </c>
      <c r="F6" s="18">
        <f>E6*(1+F5)</f>
        <v>2930912434.090584</v>
      </c>
    </row>
    <row r="7" spans="1:6" x14ac:dyDescent="0.25">
      <c r="A7" t="s">
        <v>5</v>
      </c>
      <c r="B7" s="10">
        <f>Assumptions!B7</f>
        <v>0.06845013340902467</v>
      </c>
      <c r="C7" s="10">
        <f>Assumptions!B7</f>
        <v>0.06845013340902467</v>
      </c>
      <c r="D7" s="10">
        <f>Assumptions!B7</f>
        <v>0.06845013340902467</v>
      </c>
      <c r="E7" s="10">
        <f>Assumptions!B7</f>
        <v>0.06845013340902467</v>
      </c>
      <c r="F7" s="10">
        <f>Assumptions!B7</f>
        <v>0.06845013340902467</v>
      </c>
    </row>
    <row r="8" spans="1:6" x14ac:dyDescent="0.25">
      <c r="A8" t="s">
        <v>44</v>
      </c>
      <c r="B8" s="18">
        <f>B6*B7</f>
        <v>345420392.5265024</v>
      </c>
      <c r="C8" s="18">
        <f>C6*C7</f>
        <v>301547175.96101266</v>
      </c>
      <c r="D8" s="18">
        <f>D6*D7</f>
        <v>263246470.9595433</v>
      </c>
      <c r="E8" s="18">
        <f>E6*E7</f>
        <v>229810490.68625125</v>
      </c>
      <c r="F8" s="18">
        <f>F6*F7</f>
        <v>200621347.12366968</v>
      </c>
    </row>
    <row r="9" spans="1:6" x14ac:dyDescent="0.25">
      <c r="A9" t="s">
        <v>45</v>
      </c>
      <c r="B9" s="18">
        <f>B8*(1-Assumptions!B8)</f>
        <v>259065294.39487678</v>
      </c>
      <c r="C9" s="18">
        <f>C8*(1-Assumptions!B8)</f>
        <v>226160381.9707595</v>
      </c>
      <c r="D9" s="18">
        <f>D8*(1-Assumptions!B8)</f>
        <v>197434853.21965748</v>
      </c>
      <c r="E9" s="18">
        <f>E8*(1-Assumptions!B8)</f>
        <v>172357868.01468843</v>
      </c>
      <c r="F9" s="18">
        <f>F8*(1-Assumptions!B8)</f>
        <v>150466010.34275228</v>
      </c>
    </row>
    <row r="10" spans="1:6" x14ac:dyDescent="0.25">
      <c r="A10" t="s">
        <v>46</v>
      </c>
      <c r="B10" s="18">
        <f>B6*Assumptions!B9</f>
        <v>140615494.1322809</v>
      </c>
      <c r="C10" s="18">
        <f>C6*Assumptions!B9</f>
        <v>122755361.49388848</v>
      </c>
      <c r="D10" s="18">
        <f>D6*Assumptions!B9</f>
        <v>107163715.2682444</v>
      </c>
      <c r="E10" s="18">
        <f>E6*Assumptions!B9</f>
        <v>93552425.98234786</v>
      </c>
      <c r="F10" s="18">
        <f>F6*Assumptions!B9</f>
        <v>81669960.63243203</v>
      </c>
    </row>
    <row r="11" spans="1:6" x14ac:dyDescent="0.25">
      <c r="A11" t="s">
        <v>47</v>
      </c>
      <c r="B11" s="18">
        <f>-B6*Assumptions!B10</f>
        <v>-168583775.17446017</v>
      </c>
      <c r="C11" s="18">
        <f>-C6*Assumptions!B10</f>
        <v>-147171280.03033105</v>
      </c>
      <c r="D11" s="18">
        <f>-D6*Assumptions!B10</f>
        <v>-128478470.97593905</v>
      </c>
      <c r="E11" s="18">
        <f>-E6*Assumptions!B10</f>
        <v>-112159909.8744897</v>
      </c>
      <c r="F11" s="18">
        <f>-F6*Assumptions!B10</f>
        <v>-97914034.0595239</v>
      </c>
    </row>
    <row r="12" spans="1:6" x14ac:dyDescent="0.25">
      <c r="A12" t="s">
        <v>48</v>
      </c>
      <c r="B12" s="18">
        <f>-(B6-Assumptions!B29)*Assumptions!B11</f>
        <v>28417662.012272924</v>
      </c>
      <c r="C12" s="18">
        <f>-(C6-B6)*Assumptions!B11</f>
        <v>24808221.843931746</v>
      </c>
      <c r="D12" s="18">
        <f>-(D6-C6)*Assumptions!B11</f>
        <v>21657231.01330201</v>
      </c>
      <c r="E12" s="18">
        <f>-(E6-D6)*Assumptions!B11</f>
        <v>18906460.04837545</v>
      </c>
      <c r="F12" s="18">
        <f>-(F6-E6)*Assumptions!B11</f>
        <v>16505075.433755426</v>
      </c>
    </row>
    <row r="13" spans="1:6" x14ac:dyDescent="0.25">
      <c r="A13" s="19" t="s">
        <v>49</v>
      </c>
      <c r="B13" s="20">
        <f>B9+B10+B11+B12</f>
        <v>259514675.36497042</v>
      </c>
      <c r="C13" s="20">
        <f>C9+C10+C11+C12</f>
        <v>226552685.2782487</v>
      </c>
      <c r="D13" s="20">
        <f>D9+D10+D11+D12</f>
        <v>197777328.52526483</v>
      </c>
      <c r="E13" s="20">
        <f>E9+E10+E11+E12</f>
        <v>172656844.17092204</v>
      </c>
      <c r="F13" s="20">
        <f>F9+F10+F11+F12</f>
        <v>150727012.34941587</v>
      </c>
    </row>
    <row r="14" spans="1:6" x14ac:dyDescent="0.25">
      <c r="A14" t="s">
        <v>50</v>
      </c>
      <c r="B14" s="21">
        <f>1/(1+Assumptions!$B$26)^(1-0.5*Assumptions!$B$32)</f>
        <v>0.9603933720385701</v>
      </c>
      <c r="C14" s="21">
        <f>1/(1+Assumptions!$B$26)^(2-0.5*Assumptions!$B$32)</f>
        <v>0.8858240407288047</v>
      </c>
      <c r="D14" s="21">
        <f>1/(1+Assumptions!$B$26)^(3-0.5*Assumptions!$B$32)</f>
        <v>0.8170446131541956</v>
      </c>
      <c r="E14" s="21">
        <f>1/(1+Assumptions!$B$26)^(4-0.5*Assumptions!$B$32)</f>
        <v>0.7536055347234175</v>
      </c>
      <c r="F14" s="21">
        <f>1/(1+Assumptions!$B$26)^(5-0.5*Assumptions!$B$32)</f>
        <v>0.6950921563185043</v>
      </c>
    </row>
    <row r="15" spans="1:6" x14ac:dyDescent="0.25">
      <c r="A15" s="19" t="s">
        <v>51</v>
      </c>
      <c r="B15" s="20">
        <f>B13*B14</f>
        <v>249236174.16725877</v>
      </c>
      <c r="C15" s="20">
        <f>C13*C14</f>
        <v>200685815.11113945</v>
      </c>
      <c r="D15" s="20">
        <f>D13*D14</f>
        <v>161592900.87559527</v>
      </c>
      <c r="E15" s="20">
        <f>E13*E14</f>
        <v>130115153.37508547</v>
      </c>
      <c r="F15" s="20">
        <f>F13*F14</f>
        <v>104769164.0294013</v>
      </c>
    </row>
    <row r="17" spans="1:2" x14ac:dyDescent="0.25">
      <c r="A17" s="22" t="s">
        <v>52</v>
      </c>
      <c r="B17" s="23">
        <f>SUM(B15:F15)</f>
        <v>846399207.5584803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150727012.34941587</v>
      </c>
    </row>
    <row r="5" spans="1:2" x14ac:dyDescent="0.25">
      <c r="A5" t="s">
        <v>56</v>
      </c>
      <c r="B5" s="18">
        <f>IF(Assumptions!$B$33=0,B4,B4-Forecast!F11-Forecast!F10-Forecast!F12)</f>
        <v>150466010.34275228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0.29698001348873526</v>
      </c>
    </row>
    <row r="7" spans="1:2" x14ac:dyDescent="0.25">
      <c r="A7" t="s">
        <v>58</v>
      </c>
      <c r="B7" s="18">
        <f>-MAX(Forecast!F9,0)*B6</f>
        <v>-44685397.78118675</v>
      </c>
    </row>
    <row r="8" spans="1:2" x14ac:dyDescent="0.25">
      <c r="A8" t="s">
        <v>59</v>
      </c>
      <c r="B8" s="18">
        <f>IF(OR(Assumptions!$B$33=0,Assumptions!B12&lt;=0),B5,MAX(B5+B7,0))</f>
        <v>105780612.56156552</v>
      </c>
    </row>
    <row r="9" spans="1:2" x14ac:dyDescent="0.25">
      <c r="A9" t="s">
        <v>60</v>
      </c>
      <c r="B9" s="18">
        <f>B8*(1+Assumptions!B12)/(Assumptions!B26-Assumptions!B12)</f>
        <v>1832101309.0286565</v>
      </c>
    </row>
    <row r="10" spans="1:2" x14ac:dyDescent="0.25">
      <c r="A10" t="s">
        <v>61</v>
      </c>
      <c r="B10" s="18">
        <f>B9/(1+Assumptions!B26)^(5-0.5*Assumptions!B32)</f>
        <v>1273479249.4866831</v>
      </c>
    </row>
    <row r="11" spans="1:2" x14ac:dyDescent="0.25">
      <c r="A11" t="s">
        <v>62</v>
      </c>
      <c r="B11" s="18">
        <f>Forecast!B17+B10</f>
        <v>2119878457.0451634</v>
      </c>
    </row>
    <row r="12" spans="1:2" x14ac:dyDescent="0.25">
      <c r="A12" t="s">
        <v>63</v>
      </c>
      <c r="B12" s="18">
        <f>-Assumptions!B30</f>
        <v>-1181958000</v>
      </c>
    </row>
    <row r="13" spans="1:2" x14ac:dyDescent="0.25">
      <c r="A13" t="s">
        <v>64</v>
      </c>
      <c r="B13" s="18">
        <f>B11+B12</f>
        <v>937920457.0451634</v>
      </c>
    </row>
    <row r="14" spans="1:2" x14ac:dyDescent="0.25">
      <c r="A14" s="19" t="s">
        <v>65</v>
      </c>
      <c r="B14" s="24">
        <f>B13/Assumptions!B31</f>
        <v>3.7620629398982675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282291307.7561017</v>
      </c>
    </row>
    <row r="18" spans="1:2" x14ac:dyDescent="0.25">
      <c r="A18" t="s">
        <v>60</v>
      </c>
      <c r="B18" s="18">
        <f>B17*Assumptions!B13</f>
        <v>4352883745.655052</v>
      </c>
    </row>
    <row r="19" spans="1:2" x14ac:dyDescent="0.25">
      <c r="A19" t="s">
        <v>61</v>
      </c>
      <c r="B19" s="18">
        <f>B18/(1+Assumptions!B26)^(5-0.5*Assumptions!B32)</f>
        <v>3025655348.971138</v>
      </c>
    </row>
    <row r="20" spans="1:2" x14ac:dyDescent="0.25">
      <c r="A20" t="s">
        <v>62</v>
      </c>
      <c r="B20" s="18">
        <f>Forecast!B17+B19</f>
        <v>3872054556.5296183</v>
      </c>
    </row>
    <row r="21" spans="1:2" x14ac:dyDescent="0.25">
      <c r="A21" t="s">
        <v>63</v>
      </c>
      <c r="B21" s="18">
        <f>-Assumptions!B30</f>
        <v>-1181958000</v>
      </c>
    </row>
    <row r="22" spans="1:2" x14ac:dyDescent="0.25">
      <c r="A22" t="s">
        <v>64</v>
      </c>
      <c r="B22" s="18">
        <f>B20+B21</f>
        <v>2690096556.5296183</v>
      </c>
    </row>
    <row r="23" spans="1:2" x14ac:dyDescent="0.25">
      <c r="A23" s="19" t="s">
        <v>65</v>
      </c>
      <c r="B23" s="25">
        <f>B22/Assumptions!B31</f>
        <v>10.790160811665398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17.18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3.7620629398982675</v>
      </c>
    </row>
    <row r="29" spans="1:2" x14ac:dyDescent="0.25">
      <c r="A29" s="19" t="s">
        <v>73</v>
      </c>
      <c r="B29" s="12">
        <f>B28/B26-1</f>
        <v>-0.7810207834750718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0.064181</v>
      </c>
      <c r="B5" s="31">
        <v>6.003155128324839</v>
      </c>
      <c r="C5" s="31">
        <v>6.038693066372976</v>
      </c>
      <c r="D5" s="31">
        <v>6.074231004421111</v>
      </c>
      <c r="E5" s="31">
        <v>6.109768942469249</v>
      </c>
      <c r="F5" s="31">
        <v>6.145306880517382</v>
      </c>
    </row>
    <row r="6" spans="1:6" x14ac:dyDescent="0.25">
      <c r="A6" s="30">
        <v>0.074181</v>
      </c>
      <c r="B6" s="31">
        <v>4.704682328430693</v>
      </c>
      <c r="C6" s="31">
        <v>4.734162307887853</v>
      </c>
      <c r="D6" s="31">
        <v>4.763642287345012</v>
      </c>
      <c r="E6" s="31">
        <v>4.793122266802172</v>
      </c>
      <c r="F6" s="31">
        <v>4.82260224625933</v>
      </c>
    </row>
    <row r="7" spans="1:6" x14ac:dyDescent="0.25">
      <c r="A7" s="30">
        <v>0.084181</v>
      </c>
      <c r="B7" s="31">
        <v>3.712206700338796</v>
      </c>
      <c r="C7" s="31">
        <v>3.737123732554476</v>
      </c>
      <c r="D7" s="32">
        <v>3.7620407647701564</v>
      </c>
      <c r="E7" s="31">
        <v>3.7869577969858366</v>
      </c>
      <c r="F7" s="31">
        <v>3.811874829201517</v>
      </c>
    </row>
    <row r="8" spans="1:6" x14ac:dyDescent="0.25">
      <c r="A8" s="30">
        <v>0.094181</v>
      </c>
      <c r="B8" s="31">
        <v>2.928343430318357</v>
      </c>
      <c r="C8" s="31">
        <v>2.9497133997067855</v>
      </c>
      <c r="D8" s="31">
        <v>2.9710833690952128</v>
      </c>
      <c r="E8" s="31">
        <v>2.99245333848364</v>
      </c>
      <c r="F8" s="31">
        <v>3.013823307872067</v>
      </c>
    </row>
    <row r="9" spans="1:6" x14ac:dyDescent="0.25">
      <c r="A9" s="30">
        <v>0.104181</v>
      </c>
      <c r="B9" s="31">
        <v>2.2930944121565227</v>
      </c>
      <c r="C9" s="31">
        <v>2.3116382116469203</v>
      </c>
      <c r="D9" s="31">
        <v>2.330182011137316</v>
      </c>
      <c r="E9" s="31">
        <v>2.3487258106277142</v>
      </c>
      <c r="F9" s="31">
        <v>2.367269610118109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5780513000</v>
      </c>
      <c r="C5" s="18">
        <v>5413128000</v>
      </c>
      <c r="D5" s="18">
        <v>6607978000</v>
      </c>
      <c r="E5" s="18">
        <v>8688494000</v>
      </c>
      <c r="F5" s="8" t="s">
        <v>84</v>
      </c>
    </row>
    <row r="6" spans="1:6" x14ac:dyDescent="0.25">
      <c r="A6" t="s">
        <v>44</v>
      </c>
      <c r="B6" s="18">
        <v>158780000</v>
      </c>
      <c r="C6" s="18">
        <v>207724000</v>
      </c>
      <c r="D6" s="18">
        <v>557061000</v>
      </c>
      <c r="E6" s="18">
        <v>1074393000</v>
      </c>
      <c r="F6" s="8" t="s">
        <v>85</v>
      </c>
    </row>
    <row r="7" spans="1:6" x14ac:dyDescent="0.25">
      <c r="A7" t="s">
        <v>86</v>
      </c>
      <c r="B7" s="18">
        <v>195472000</v>
      </c>
      <c r="C7" s="18">
        <v>159910000</v>
      </c>
      <c r="D7" s="18">
        <v>171130000</v>
      </c>
      <c r="E7" s="18">
        <v>192935000</v>
      </c>
      <c r="F7" s="8" t="s">
        <v>87</v>
      </c>
    </row>
    <row r="8" spans="1:6" x14ac:dyDescent="0.25">
      <c r="A8" t="s">
        <v>88</v>
      </c>
      <c r="B8" s="18">
        <v>309803000</v>
      </c>
      <c r="C8" s="18">
        <v>204785000</v>
      </c>
      <c r="D8" s="18">
        <v>174903000</v>
      </c>
      <c r="E8" s="18">
        <v>136717000</v>
      </c>
      <c r="F8" s="8" t="s">
        <v>89</v>
      </c>
    </row>
    <row r="9" spans="1:6" x14ac:dyDescent="0.25">
      <c r="A9" t="s">
        <v>90</v>
      </c>
      <c r="B9" s="18">
        <v>-319477000</v>
      </c>
      <c r="C9" s="18">
        <v>-106600000</v>
      </c>
      <c r="D9" s="18">
        <v>-80527000</v>
      </c>
      <c r="E9" s="18">
        <v>544300000</v>
      </c>
      <c r="F9" s="8" t="s">
        <v>91</v>
      </c>
    </row>
    <row r="10" spans="1:6" x14ac:dyDescent="0.25">
      <c r="A10" t="s">
        <v>92</v>
      </c>
      <c r="B10" s="18">
        <v>2158489000</v>
      </c>
      <c r="C10" s="18">
        <v>2383051000</v>
      </c>
      <c r="D10" s="18">
        <v>2134887000</v>
      </c>
      <c r="E10" s="18">
        <v>1988524000</v>
      </c>
      <c r="F10" s="8" t="s">
        <v>93</v>
      </c>
    </row>
    <row r="11" spans="1:6" x14ac:dyDescent="0.25">
      <c r="A11" t="s">
        <v>94</v>
      </c>
      <c r="B11" s="18">
        <v>976531000</v>
      </c>
      <c r="C11" s="18">
        <v>1346102000</v>
      </c>
      <c r="D11" s="18">
        <v>1804370000</v>
      </c>
      <c r="E11" s="18">
        <v>1557819000</v>
      </c>
      <c r="F11" s="8" t="s">
        <v>95</v>
      </c>
    </row>
    <row r="12" spans="1:6" x14ac:dyDescent="0.25">
      <c r="A12" t="s">
        <v>32</v>
      </c>
      <c r="B12" s="34">
        <v>249310145</v>
      </c>
      <c r="C12" s="34">
        <v>249335371</v>
      </c>
      <c r="D12" s="34">
        <v>249260083</v>
      </c>
      <c r="E12" s="34">
        <v>257598114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2026-09-19T01:05:46Z</dcterms:modified>
</cp:coreProperties>
</file>