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<sst xmlns="http://schemas.openxmlformats.org/spreadsheetml/2006/main" count="112" uniqueCount="100">
  <si>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Koninklijke Ahold Delhaize N.V. (AD.AS)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</si>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</sst>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0.020161610574500166</v>
      </c>
    </row>
    <row r="7" spans="1:2" x14ac:dyDescent="0.25">
      <c r="A7" t="s">
        <v>5</v>
      </c>
      <c r="B7" s="6">
        <v>0.030699419410338595</v>
      </c>
    </row>
    <row r="8" spans="1:2" x14ac:dyDescent="0.25">
      <c r="A8" t="s">
        <v>6</v>
      </c>
      <c r="B8" s="6">
        <v>0.21924328626892542</v>
      </c>
    </row>
    <row r="9" spans="1:2" x14ac:dyDescent="0.25">
      <c r="A9" t="s">
        <v>7</v>
      </c>
      <c r="B9" s="6">
        <v>0.039075587515278995</v>
      </c>
    </row>
    <row r="10" spans="1:2" x14ac:dyDescent="0.25">
      <c r="A10" t="s">
        <v>8</v>
      </c>
      <c r="B10" s="6">
        <v>0.027386962578303413</v>
      </c>
    </row>
    <row r="11" spans="1:2" x14ac:dyDescent="0.25">
      <c r="A11" t="s">
        <v>9</v>
      </c>
      <c r="B11" s="6">
        <v>0.016051364365971106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6.316568686262747</v>
      </c>
    </row>
    <row r="14" spans="1:3" x14ac:dyDescent="0.25">
      <c r="A14" t="s">
        <v>12</v>
      </c>
      <c r="B14" s="6">
        <v>0.10337427208251038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0.54641</v>
      </c>
      <c r="C19" s="8" t="s">
        <v>19</v>
      </c>
    </row>
    <row r="20" spans="1:2" x14ac:dyDescent="0.25">
      <c r="A20" t="s">
        <v>20</v>
      </c>
      <c r="B20" s="10">
        <f>B17+B19*B18</f>
        <v>0.07751664999999999</v>
      </c>
    </row>
    <row r="21" spans="1:3" x14ac:dyDescent="0.25">
      <c r="A21" t="s">
        <v>21</v>
      </c>
      <c r="B21" s="6">
        <v>0.04251252647347487</v>
      </c>
      <c r="C21" s="8" t="s">
        <v>22</v>
      </c>
    </row>
    <row r="22" spans="1:2" x14ac:dyDescent="0.25">
      <c r="A22" t="s">
        <v>23</v>
      </c>
      <c r="B22" s="11">
        <v>27610880000</v>
      </c>
    </row>
    <row r="23" spans="1:2" x14ac:dyDescent="0.25">
      <c r="A23" t="s">
        <v>24</v>
      </c>
      <c r="B23" s="11">
        <v>18403000000</v>
      </c>
    </row>
    <row r="24" spans="1:2" x14ac:dyDescent="0.25">
      <c r="A24" t="s">
        <v>25</v>
      </c>
      <c r="B24" s="10">
        <f>B22/(B22+B23)</f>
        <v>0.6000554615259569</v>
      </c>
    </row>
    <row r="25" spans="1:2" x14ac:dyDescent="0.25">
      <c r="A25" t="s">
        <v>26</v>
      </c>
      <c r="B25" s="10">
        <f>1-B24</f>
        <v>0.3999445384740431</v>
      </c>
    </row>
    <row r="26" spans="1:2" x14ac:dyDescent="0.25">
      <c r="A26" t="s">
        <v>27</v>
      </c>
      <c r="B26" s="12">
        <f>B24*B20+B25*B21*(1-B8)</f>
        <v>0.0597892245007628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92352000000</v>
      </c>
      <c r="C29" s="8" t="s">
        <v>30</v>
      </c>
    </row>
    <row r="30" spans="1:2" x14ac:dyDescent="0.25">
      <c r="A30" t="s">
        <v>31</v>
      </c>
      <c r="B30" s="11">
        <v>14508000000</v>
      </c>
    </row>
    <row r="31" spans="1:2" x14ac:dyDescent="0.25">
      <c r="A31" t="s">
        <v>32</v>
      </c>
      <c r="B31" s="13">
        <v>905000000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0.020161610574500166</v>
      </c>
      <c r="C5" s="10">
        <f>Assumptions!B6</f>
        <v>0.020161610574500166</v>
      </c>
      <c r="D5" s="10">
        <f>Assumptions!B6</f>
        <v>0.020161610574500166</v>
      </c>
      <c r="E5" s="10">
        <f>Assumptions!B6</f>
        <v>0.020161610574500166</v>
      </c>
      <c r="F5" s="10">
        <f>Assumptions!B6</f>
        <v>0.020161610574500166</v>
      </c>
    </row>
    <row r="6" spans="1:6" x14ac:dyDescent="0.25">
      <c r="A6" t="s">
        <v>43</v>
      </c>
      <c r="B6" s="18">
        <f>Assumptions!B29*(1+B5)</f>
        <v>94213965059.77625</v>
      </c>
      <c r="C6" s="18">
        <f>B6*(1+C5)</f>
        <v>96113470333.99101</v>
      </c>
      <c r="D6" s="18">
        <f>C6*(1+D5)</f>
        <v>98051272693.82872</v>
      </c>
      <c r="E6" s="18">
        <f>D6*(1+E5)</f>
        <v>100028144270.21582</v>
      </c>
      <c r="F6" s="18">
        <f>E6*(1+F5)</f>
        <v>102044872761.48183</v>
      </c>
    </row>
    <row r="7" spans="1:6" x14ac:dyDescent="0.25">
      <c r="A7" t="s">
        <v>5</v>
      </c>
      <c r="B7" s="10">
        <f>Assumptions!B7</f>
        <v>0.030699419410338595</v>
      </c>
      <c r="C7" s="10">
        <f>Assumptions!B7</f>
        <v>0.030699419410338595</v>
      </c>
      <c r="D7" s="10">
        <f>Assumptions!B7</f>
        <v>0.030699419410338595</v>
      </c>
      <c r="E7" s="10">
        <f>Assumptions!B7</f>
        <v>0.030699419410338595</v>
      </c>
      <c r="F7" s="10">
        <f>Assumptions!B7</f>
        <v>0.030699419410338595</v>
      </c>
    </row>
    <row r="8" spans="1:6" x14ac:dyDescent="0.25">
      <c r="A8" t="s">
        <v>44</v>
      </c>
      <c r="B8" s="18">
        <f>B6*B7</f>
        <v>2892314027.681057</v>
      </c>
      <c r="C8" s="18">
        <f>C6*C7</f>
        <v>2950627736.7663264</v>
      </c>
      <c r="D8" s="18">
        <f>D6*D7</f>
        <v>3010117144.145328</v>
      </c>
      <c r="E8" s="18">
        <f>E6*E7</f>
        <v>3070805953.7892127</v>
      </c>
      <c r="F8" s="18">
        <f>F6*F7</f>
        <v>3132718347.579367</v>
      </c>
    </row>
    <row r="9" spans="1:6" x14ac:dyDescent="0.25">
      <c r="A9" t="s">
        <v>45</v>
      </c>
      <c r="B9" s="18">
        <f>B8*(1-Assumptions!B8)</f>
        <v>2258193595.33055</v>
      </c>
      <c r="C9" s="18">
        <f>C8*(1-Assumptions!B8)</f>
        <v>2303722415.201435</v>
      </c>
      <c r="D9" s="18">
        <f>D8*(1-Assumptions!B8)</f>
        <v>2350169169.4084735</v>
      </c>
      <c r="E9" s="18">
        <f>E8*(1-Assumptions!B8)</f>
        <v>2397552364.986284</v>
      </c>
      <c r="F9" s="18">
        <f>F8*(1-Assumptions!B8)</f>
        <v>2445890882.101109</v>
      </c>
    </row>
    <row r="10" spans="1:6" x14ac:dyDescent="0.25">
      <c r="A10" t="s">
        <v>46</v>
      </c>
      <c r="B10" s="18">
        <f>B6*Assumptions!B9</f>
        <v>3681466036.854724</v>
      </c>
      <c r="C10" s="18">
        <f>C6*Assumptions!B9</f>
        <v>3755690321.4330373</v>
      </c>
      <c r="D10" s="18">
        <f>D6*Assumptions!B9</f>
        <v>3831411087.1321898</v>
      </c>
      <c r="E10" s="18">
        <f>E6*Assumptions!B9</f>
        <v>3908658505.4217715</v>
      </c>
      <c r="F10" s="18">
        <f>F6*Assumptions!B9</f>
        <v>3987463356.0767927</v>
      </c>
    </row>
    <row r="11" spans="1:6" x14ac:dyDescent="0.25">
      <c r="A11" t="s">
        <v>47</v>
      </c>
      <c r="B11" s="18">
        <f>-B6*Assumptions!B10</f>
        <v>-2580234335.4456773</v>
      </c>
      <c r="C11" s="18">
        <f>-C6*Assumptions!B10</f>
        <v>-2632256015.307887</v>
      </c>
      <c r="D11" s="18">
        <f>-D6*Assumptions!B10</f>
        <v>-2685326536.0209103</v>
      </c>
      <c r="E11" s="18">
        <f>-E6*Assumptions!B10</f>
        <v>-2739467043.9055357</v>
      </c>
      <c r="F11" s="18">
        <f>-F6*Assumptions!B10</f>
        <v>-2794699111.626436</v>
      </c>
    </row>
    <row r="12" spans="1:6" x14ac:dyDescent="0.25">
      <c r="A12" t="s">
        <v>48</v>
      </c>
      <c r="B12" s="18">
        <f>-(B6-Assumptions!B29)*Assumptions!B11</f>
        <v>-29887079.611175682</v>
      </c>
      <c r="C12" s="18">
        <f>-(C6-B6)*Assumptions!B11</f>
        <v>-30489651.27150509</v>
      </c>
      <c r="D12" s="18">
        <f>-(D6-C6)*Assumptions!B11</f>
        <v>-31104371.7469937</v>
      </c>
      <c r="E12" s="18">
        <f>-(E6-D6)*Assumptions!B11</f>
        <v>-31731485.97732103</v>
      </c>
      <c r="F12" s="18">
        <f>-(F6-E6)*Assumptions!B11</f>
        <v>-32371243.840545848</v>
      </c>
    </row>
    <row r="13" spans="1:6" x14ac:dyDescent="0.25">
      <c r="A13" s="19" t="s">
        <v>49</v>
      </c>
      <c r="B13" s="20">
        <f>B9+B10+B11+B12</f>
        <v>3329538217.1284213</v>
      </c>
      <c r="C13" s="20">
        <f>C9+C10+C11+C12</f>
        <v>3396667070.05508</v>
      </c>
      <c r="D13" s="20">
        <f>D9+D10+D11+D12</f>
        <v>3465149348.772759</v>
      </c>
      <c r="E13" s="20">
        <f>E9+E10+E11+E12</f>
        <v>3535012340.5251985</v>
      </c>
      <c r="F13" s="20">
        <f>F9+F10+F11+F12</f>
        <v>3606283882.7109203</v>
      </c>
    </row>
    <row r="14" spans="1:6" x14ac:dyDescent="0.25">
      <c r="A14" t="s">
        <v>50</v>
      </c>
      <c r="B14" s="21">
        <f>1/(1+Assumptions!$B$26)^(1-0.5*Assumptions!$B$32)</f>
        <v>0.9713824443377921</v>
      </c>
      <c r="C14" s="21">
        <f>1/(1+Assumptions!$B$26)^(2-0.5*Assumptions!$B$32)</f>
        <v>0.9165807897276776</v>
      </c>
      <c r="D14" s="21">
        <f>1/(1+Assumptions!$B$26)^(3-0.5*Assumptions!$B$32)</f>
        <v>0.8648708333107022</v>
      </c>
      <c r="E14" s="21">
        <f>1/(1+Assumptions!$B$26)^(4-0.5*Assumptions!$B$32)</f>
        <v>0.8160781533876407</v>
      </c>
      <c r="F14" s="21">
        <f>1/(1+Assumptions!$B$26)^(5-0.5*Assumptions!$B$32)</f>
        <v>0.7700381684594618</v>
      </c>
    </row>
    <row r="15" spans="1:6" x14ac:dyDescent="0.25">
      <c r="A15" s="19" t="s">
        <v>51</v>
      </c>
      <c r="B15" s="20">
        <f>B13*B14</f>
        <v>3234254971.8703003</v>
      </c>
      <c r="C15" s="20">
        <f>C13*C14</f>
        <v>3113319785.513082</v>
      </c>
      <c r="D15" s="20">
        <f>D13*D14</f>
        <v>2996906604.8191333</v>
      </c>
      <c r="E15" s="20">
        <f>E13*E14</f>
        <v>2884846343.058326</v>
      </c>
      <c r="F15" s="20">
        <f>F13*F14</f>
        <v>2776976235.9875937</v>
      </c>
    </row>
    <row r="17" spans="1:2" x14ac:dyDescent="0.25">
      <c r="A17" s="22" t="s">
        <v>52</v>
      </c>
      <c r="B17" s="23">
        <f>SUM(B15:F15)</f>
        <v>15006303941.248436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3606283882.7109203</v>
      </c>
    </row>
    <row r="5" spans="1:2" x14ac:dyDescent="0.25">
      <c r="A5" t="s">
        <v>56</v>
      </c>
      <c r="B5" s="18">
        <f>IF(Assumptions!$B$33=0,B4,B4-Forecast!F11-Forecast!F10-Forecast!F12)</f>
        <v>2865168930.0021214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0.24183967148078894</v>
      </c>
    </row>
    <row r="7" spans="1:2" x14ac:dyDescent="0.25">
      <c r="A7" t="s">
        <v>58</v>
      </c>
      <c r="B7" s="18">
        <f>-MAX(Forecast!F9,0)*B6</f>
        <v>-692911512.7686766</v>
      </c>
    </row>
    <row r="8" spans="1:2" x14ac:dyDescent="0.25">
      <c r="A8" t="s">
        <v>59</v>
      </c>
      <c r="B8" s="18">
        <f>IF(OR(Assumptions!$B$33=0,Assumptions!B12&lt;=0),B5,MAX(B5+B7,0))</f>
        <v>2172257417.2334447</v>
      </c>
    </row>
    <row r="9" spans="1:2" x14ac:dyDescent="0.25">
      <c r="A9" t="s">
        <v>60</v>
      </c>
      <c r="B9" s="18">
        <f>B8*(1+Assumptions!B12)/(Assumptions!B26-Assumptions!B12)</f>
        <v>64001537390.27612</v>
      </c>
    </row>
    <row r="10" spans="1:2" x14ac:dyDescent="0.25">
      <c r="A10" t="s">
        <v>61</v>
      </c>
      <c r="B10" s="18">
        <f>B9/(1+Assumptions!B26)^(5-0.5*Assumptions!B32)</f>
        <v>49283626630.59799</v>
      </c>
    </row>
    <row r="11" spans="1:2" x14ac:dyDescent="0.25">
      <c r="A11" t="s">
        <v>62</v>
      </c>
      <c r="B11" s="18">
        <f>Forecast!B17+B10</f>
        <v>64289930571.84643</v>
      </c>
    </row>
    <row r="12" spans="1:2" x14ac:dyDescent="0.25">
      <c r="A12" t="s">
        <v>63</v>
      </c>
      <c r="B12" s="18">
        <f>-Assumptions!B30</f>
        <v>-14508000000</v>
      </c>
    </row>
    <row r="13" spans="1:2" x14ac:dyDescent="0.25">
      <c r="A13" t="s">
        <v>64</v>
      </c>
      <c r="B13" s="18">
        <f>B11+B12</f>
        <v>49781930571.84643</v>
      </c>
    </row>
    <row r="14" spans="1:2" x14ac:dyDescent="0.25">
      <c r="A14" s="19" t="s">
        <v>65</v>
      </c>
      <c r="B14" s="24">
        <f>B13/Assumptions!B31</f>
        <v>55.00765809043804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7120181703.65616</v>
      </c>
    </row>
    <row r="18" spans="1:2" x14ac:dyDescent="0.25">
      <c r="A18" t="s">
        <v>60</v>
      </c>
      <c r="B18" s="18">
        <f>B17*Assumptions!B13</f>
        <v>44975116789.815445</v>
      </c>
    </row>
    <row r="19" spans="1:2" x14ac:dyDescent="0.25">
      <c r="A19" t="s">
        <v>61</v>
      </c>
      <c r="B19" s="18">
        <f>B18/(1+Assumptions!B26)^(5-0.5*Assumptions!B32)</f>
        <v>34632556559.07987</v>
      </c>
    </row>
    <row r="20" spans="1:2" x14ac:dyDescent="0.25">
      <c r="A20" t="s">
        <v>62</v>
      </c>
      <c r="B20" s="18">
        <f>Forecast!B17+B19</f>
        <v>49638860500.32831</v>
      </c>
    </row>
    <row r="21" spans="1:2" x14ac:dyDescent="0.25">
      <c r="A21" t="s">
        <v>63</v>
      </c>
      <c r="B21" s="18">
        <f>-Assumptions!B30</f>
        <v>-14508000000</v>
      </c>
    </row>
    <row r="22" spans="1:2" x14ac:dyDescent="0.25">
      <c r="A22" t="s">
        <v>64</v>
      </c>
      <c r="B22" s="18">
        <f>B20+B21</f>
        <v>35130860500.32831</v>
      </c>
    </row>
    <row r="23" spans="1:2" x14ac:dyDescent="0.25">
      <c r="A23" s="19" t="s">
        <v>65</v>
      </c>
      <c r="B23" s="25">
        <f>B22/Assumptions!B31</f>
        <v>38.818630387103106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55.00765809043804</v>
      </c>
    </row>
    <row r="29" spans="1:2" x14ac:dyDescent="0.25">
      <c r="A29" s="19" t="s">
        <v>73</v>
      </c>
      <c r="B29" s="12">
        <f>B28/B26-1</f>
        <v>0.7407486737480393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0.039789</v>
      </c>
      <c r="B5" s="31">
        <v>94.31610398133097</v>
      </c>
      <c r="C5" s="31">
        <v>111.75965929987692</v>
      </c>
      <c r="D5" s="31">
        <v>140.91129774749922</v>
      </c>
      <c r="E5" s="31">
        <v>199.71169221582593</v>
      </c>
      <c r="F5" s="31">
        <v>381.02602130384787</v>
      </c>
    </row>
    <row r="6" spans="1:6" x14ac:dyDescent="0.25">
      <c r="A6" s="30">
        <v>0.049789</v>
      </c>
      <c r="B6" s="31">
        <v>64.39466624838605</v>
      </c>
      <c r="C6" s="31">
        <v>71.1973098905627</v>
      </c>
      <c r="D6" s="31">
        <v>80.69453112830689</v>
      </c>
      <c r="E6" s="31">
        <v>94.92881133680251</v>
      </c>
      <c r="F6" s="31">
        <v>118.70479481662912</v>
      </c>
    </row>
    <row r="7" spans="1:6" x14ac:dyDescent="0.25">
      <c r="A7" s="30">
        <v>0.059789</v>
      </c>
      <c r="B7" s="31">
        <v>47.78110301770862</v>
      </c>
      <c r="C7" s="31">
        <v>50.955323403296134</v>
      </c>
      <c r="D7" s="32">
        <v>55.008069939126266</v>
      </c>
      <c r="E7" s="31">
        <v>60.38171706722928</v>
      </c>
      <c r="F7" s="31">
        <v>67.87555111961103</v>
      </c>
    </row>
    <row r="8" spans="1:6" x14ac:dyDescent="0.25">
      <c r="A8" s="30">
        <v>0.069789</v>
      </c>
      <c r="B8" s="31">
        <v>37.19115898360783</v>
      </c>
      <c r="C8" s="31">
        <v>38.79300027182701</v>
      </c>
      <c r="D8" s="31">
        <v>40.72724573749542</v>
      </c>
      <c r="E8" s="31">
        <v>43.11920797107119</v>
      </c>
      <c r="F8" s="31">
        <v>46.166241064899886</v>
      </c>
    </row>
    <row r="9" spans="1:6" x14ac:dyDescent="0.25">
      <c r="A9" s="30">
        <v>0.079789</v>
      </c>
      <c r="B9" s="31">
        <v>29.837649772157466</v>
      </c>
      <c r="C9" s="31">
        <v>30.658725736139406</v>
      </c>
      <c r="D9" s="31">
        <v>31.6098779470577</v>
      </c>
      <c r="E9" s="31">
        <v>32.73029465340193</v>
      </c>
      <c r="F9" s="31">
        <v>34.0766631540934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92352000000</v>
      </c>
      <c r="C5" s="18">
        <v>89357000000</v>
      </c>
      <c r="D5" s="18">
        <v>88734000000</v>
      </c>
      <c r="E5" s="18">
        <v>86984000000</v>
      </c>
      <c r="F5" s="8" t="s">
        <v>84</v>
      </c>
    </row>
    <row r="6" spans="1:6" x14ac:dyDescent="0.25">
      <c r="A6" t="s">
        <v>44</v>
      </c>
      <c r="B6" s="18">
        <v>3082000000</v>
      </c>
      <c r="C6" s="18">
        <v>2352000000</v>
      </c>
      <c r="D6" s="18">
        <v>2432000000</v>
      </c>
      <c r="E6" s="18">
        <v>3105000000</v>
      </c>
      <c r="F6" s="8" t="s">
        <v>85</v>
      </c>
    </row>
    <row r="7" spans="1:6" x14ac:dyDescent="0.25">
      <c r="A7" t="s">
        <v>86</v>
      </c>
      <c r="B7" s="18">
        <v>3586000000</v>
      </c>
      <c r="C7" s="18">
        <v>3478000000</v>
      </c>
      <c r="D7" s="18">
        <v>3468000000</v>
      </c>
      <c r="E7" s="18">
        <v>3433000000</v>
      </c>
      <c r="F7" s="8" t="s">
        <v>87</v>
      </c>
    </row>
    <row r="8" spans="1:6" x14ac:dyDescent="0.25">
      <c r="A8" t="s">
        <v>88</v>
      </c>
      <c r="B8" s="18">
        <v>2564000000</v>
      </c>
      <c r="C8" s="18">
        <v>2299000000</v>
      </c>
      <c r="D8" s="18">
        <v>2434000000</v>
      </c>
      <c r="E8" s="18">
        <v>2490000000</v>
      </c>
      <c r="F8" s="8" t="s">
        <v>89</v>
      </c>
    </row>
    <row r="9" spans="1:6" x14ac:dyDescent="0.25">
      <c r="A9" t="s">
        <v>90</v>
      </c>
      <c r="B9" s="18">
        <v>-164000000</v>
      </c>
      <c r="C9" s="18">
        <v>10000000</v>
      </c>
      <c r="D9" s="18">
        <v>254000000</v>
      </c>
      <c r="E9" s="18">
        <v>789000000</v>
      </c>
      <c r="F9" s="8" t="s">
        <v>91</v>
      </c>
    </row>
    <row r="10" spans="1:6" x14ac:dyDescent="0.25">
      <c r="A10" t="s">
        <v>92</v>
      </c>
      <c r="B10" s="18">
        <v>18403000000</v>
      </c>
      <c r="C10" s="18">
        <v>20315000000</v>
      </c>
      <c r="D10" s="18">
        <v>17766000000</v>
      </c>
      <c r="E10" s="18">
        <v>17640000000</v>
      </c>
      <c r="F10" s="8" t="s">
        <v>93</v>
      </c>
    </row>
    <row r="11" spans="1:6" x14ac:dyDescent="0.25">
      <c r="A11" t="s">
        <v>94</v>
      </c>
      <c r="B11" s="18">
        <v>3895000000</v>
      </c>
      <c r="C11" s="18">
        <v>6450000000</v>
      </c>
      <c r="D11" s="18">
        <v>3748000000</v>
      </c>
      <c r="E11" s="18">
        <v>3447000000</v>
      </c>
      <c r="F11" s="8" t="s">
        <v>95</v>
      </c>
    </row>
    <row r="12" spans="1:6" x14ac:dyDescent="0.25">
      <c r="A12" t="s">
        <v>32</v>
      </c>
      <c r="B12" s="34">
        <v>905000000</v>
      </c>
      <c r="C12" s="34">
        <v>933000000</v>
      </c>
      <c r="D12" s="34">
        <v>966000000</v>
      </c>
      <c r="E12" s="34">
        <v>1001000000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2026-09-19T00:06:11Z</dcterms:modified>
</cp:coreProperties>
</file>