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<sst xmlns="http://schemas.openxmlformats.org/spreadsheetml/2006/main" count="114" uniqueCount="102">
  <si>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Adani Ports and Special Economic Zone Limited (ADANIPORTS.NS)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</si>
  <si>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</si>
  <si>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</si>
  <si>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</si>
  <si>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</si>
  <si>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</si>
  <si>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</si>
  <si>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</si>
  <si>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</si>
  <si>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</si>
  <si>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</si>
  <si>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</si>
  <si>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</si>
  <si>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</si>
  <si>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</si>
  <si>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</si>
  <si>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</si>
  <si>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</si>
  <si>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</si>
  <si>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</si>
  <si>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</si>
  <si>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</si>
  <si>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</si>
  <si>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</si>
  <si>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</si>
  <si>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</si>
  <si>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</si>
  <si>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</si>
  <si>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</si>
  <si>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</si>
  <si>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</si>
  <si>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</si>
  <si>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</si>
  <si>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</si>
  <si>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</si>
  <si>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</si>
  <si>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</si>
  <si>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</si>
  <si>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</si>
  <si>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</si>
  <si>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</si>
  <si>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</si>
  <si>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</si>
  <si>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</si>
  <si>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</si>
  <si>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</si>
  <si>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</si>
  <si>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</si>
  <si>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</si>
  <si>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</si>
  <si>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</si>
  <si>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</si>
  <si>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</si>
  <si>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</si>
  <si>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</si>
  <si>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</si>
  <si>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</si>
  <si>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</si>
  <si>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</si>
  <si>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</si>
  <si>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</si>
  <si>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</si>
  <si>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</si>
  <si>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</si>
  <si>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</si>
  <si>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</si>
  <si>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</si>
  <si>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</si>
  <si>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</si>
  <si>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</si>
  <si>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</si>
  <si>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</si>
  <si>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</si>
  <si>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</si>
  <si>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</si>
  <si>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</si>
  <si>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</si>
  <si>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</si>
  <si>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</si>
  <si>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</si>
  <si>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</si>
  <si>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</si>
  <si>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</si>
  <si>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</si>
  <si>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</si>
  <si>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</si>
  <si>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</si>
  <si>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</si>
  <si>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</si>
  <si>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</si>
  <si>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</si>
  <si>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</si>
  <si>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</si>
  <si>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</si>
  <si>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</si>
  <si>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</si>
  <si>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</si>
  <si>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</si>
  <si>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Adjusted: Capital expenditure runs at 34.4% of revenue against depreciation of 14.9%.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</si>
  <si>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</si>
  <si>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20.8x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</si>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</sst>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0.22929311868949953</v>
      </c>
    </row>
    <row r="7" spans="1:2" x14ac:dyDescent="0.25">
      <c r="A7" t="s">
        <v>5</v>
      </c>
      <c r="B7" s="6">
        <v>0.45623358200361364</v>
      </c>
    </row>
    <row r="8" spans="1:2" x14ac:dyDescent="0.25">
      <c r="A8" t="s">
        <v>6</v>
      </c>
      <c r="B8" s="6">
        <v>0.14512093491193062</v>
      </c>
    </row>
    <row r="9" spans="1:2" x14ac:dyDescent="0.25">
      <c r="A9" t="s">
        <v>7</v>
      </c>
      <c r="B9" s="6">
        <v>0.14898531596827078</v>
      </c>
    </row>
    <row r="10" spans="1:2" x14ac:dyDescent="0.25">
      <c r="A10" t="s">
        <v>8</v>
      </c>
      <c r="B10" s="6">
        <v>0.34391349534101257</v>
      </c>
    </row>
    <row r="11" spans="1:2" x14ac:dyDescent="0.25">
      <c r="A11" t="s">
        <v>9</v>
      </c>
      <c r="B11" s="6">
        <v>0.09840176159499783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0.11262491561912612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0.66031</v>
      </c>
      <c r="C19" s="8" t="s">
        <v>19</v>
      </c>
    </row>
    <row r="20" spans="1:2" x14ac:dyDescent="0.25">
      <c r="A20" t="s">
        <v>20</v>
      </c>
      <c r="B20" s="10">
        <f>B17+B19*B18</f>
        <v>0.12082480000000001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4202421288960</v>
      </c>
    </row>
    <row r="23" spans="1:2" x14ac:dyDescent="0.25">
      <c r="A23" t="s">
        <v>24</v>
      </c>
      <c r="B23" s="11">
        <v>632361600000</v>
      </c>
    </row>
    <row r="24" spans="1:2" x14ac:dyDescent="0.25">
      <c r="A24" t="s">
        <v>25</v>
      </c>
      <c r="B24" s="10">
        <f>B22/(B22+B23)</f>
        <v>0.8692057917545857</v>
      </c>
    </row>
    <row r="25" spans="1:2" x14ac:dyDescent="0.25">
      <c r="A25" t="s">
        <v>26</v>
      </c>
      <c r="B25" s="10">
        <f>1-B24</f>
        <v>0.13079420824541432</v>
      </c>
    </row>
    <row r="26" spans="1:2" x14ac:dyDescent="0.25">
      <c r="A26" t="s">
        <v>27</v>
      </c>
      <c r="B26" s="12">
        <f>B24*B20+B25*B21*(1-B8)</f>
        <v>0.11262491561912612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387357700000</v>
      </c>
      <c r="C29" s="8" t="s">
        <v>30</v>
      </c>
    </row>
    <row r="30" spans="1:2" x14ac:dyDescent="0.25">
      <c r="A30" t="s">
        <v>31</v>
      </c>
      <c r="B30" s="11">
        <v>580746100000</v>
      </c>
    </row>
    <row r="31" spans="1:2" x14ac:dyDescent="0.25">
      <c r="A31" t="s">
        <v>32</v>
      </c>
      <c r="B31" s="13">
        <v>2199147699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0.22929311868949953</v>
      </c>
      <c r="C5" s="10">
        <f>Assumptions!B6</f>
        <v>0.22929311868949953</v>
      </c>
      <c r="D5" s="10">
        <f>Assumptions!B6</f>
        <v>0.22929311868949953</v>
      </c>
      <c r="E5" s="10">
        <f>Assumptions!B6</f>
        <v>0.22929311868949953</v>
      </c>
      <c r="F5" s="10">
        <f>Assumptions!B6</f>
        <v>0.22929311868949953</v>
      </c>
    </row>
    <row r="6" spans="1:6" x14ac:dyDescent="0.25">
      <c r="A6" t="s">
        <v>43</v>
      </c>
      <c r="B6" s="18">
        <f>Assumptions!B29*(1+B5)</f>
        <v>476176155081.39154</v>
      </c>
      <c r="C6" s="18">
        <f>B6*(1+C5)</f>
        <v>585360070725.5786</v>
      </c>
      <c r="D6" s="18">
        <f>C6*(1+D5)</f>
        <v>719579106898.5525</v>
      </c>
      <c r="E6" s="18">
        <f>D6*(1+E5)</f>
        <v>884573644463.1263</v>
      </c>
      <c r="F6" s="18">
        <f>E6*(1+F5)</f>
        <v>1087400294112.6132</v>
      </c>
    </row>
    <row r="7" spans="1:6" x14ac:dyDescent="0.25">
      <c r="A7" t="s">
        <v>5</v>
      </c>
      <c r="B7" s="10">
        <f>Assumptions!B7</f>
        <v>0.45623358200361364</v>
      </c>
      <c r="C7" s="10">
        <f>Assumptions!B7</f>
        <v>0.45623358200361364</v>
      </c>
      <c r="D7" s="10">
        <f>Assumptions!B7</f>
        <v>0.45623358200361364</v>
      </c>
      <c r="E7" s="10">
        <f>Assumptions!B7</f>
        <v>0.45623358200361364</v>
      </c>
      <c r="F7" s="10">
        <f>Assumptions!B7</f>
        <v>0.45623358200361364</v>
      </c>
    </row>
    <row r="8" spans="1:6" x14ac:dyDescent="0.25">
      <c r="A8" t="s">
        <v>44</v>
      </c>
      <c r="B8" s="18">
        <f>B6*B7</f>
        <v>217247552897.4915</v>
      </c>
      <c r="C8" s="18">
        <f>C6*C7</f>
        <v>267060921829.01935</v>
      </c>
      <c r="D8" s="18">
        <f>D6*D7</f>
        <v>328296153475.2878</v>
      </c>
      <c r="E8" s="18">
        <f>E6*E7</f>
        <v>403572202359.40314</v>
      </c>
      <c r="F8" s="18">
        <f>F6*F7</f>
        <v>496108531254.78046</v>
      </c>
    </row>
    <row r="9" spans="1:6" x14ac:dyDescent="0.25">
      <c r="A9" t="s">
        <v>45</v>
      </c>
      <c r="B9" s="18">
        <f>B8*(1-Assumptions!B8)</f>
        <v>185720384913.6784</v>
      </c>
      <c r="C9" s="18">
        <f>C8*(1-Assumptions!B8)</f>
        <v>228304791174.75003</v>
      </c>
      <c r="D9" s="18">
        <f>D8*(1-Assumptions!B8)</f>
        <v>280653508754.9633</v>
      </c>
      <c r="E9" s="18">
        <f>E8*(1-Assumptions!B8)</f>
        <v>345005427048.5397</v>
      </c>
      <c r="F9" s="18">
        <f>F8*(1-Assumptions!B8)</f>
        <v>424112797381.30194</v>
      </c>
    </row>
    <row r="10" spans="1:6" x14ac:dyDescent="0.25">
      <c r="A10" t="s">
        <v>46</v>
      </c>
      <c r="B10" s="18">
        <f>B6*Assumptions!B9</f>
        <v>70943254921.35742</v>
      </c>
      <c r="C10" s="18">
        <f>C6*Assumptions!B9</f>
        <v>87210055092.25966</v>
      </c>
      <c r="D10" s="18">
        <f>D6*Assumptions!B9</f>
        <v>107206720605.44693</v>
      </c>
      <c r="E10" s="18">
        <f>E6*Assumptions!B9</f>
        <v>131788483917.54369</v>
      </c>
      <c r="F10" s="18">
        <f>F6*Assumptions!B9</f>
        <v>162006676402.35825</v>
      </c>
    </row>
    <row r="11" spans="1:6" x14ac:dyDescent="0.25">
      <c r="A11" t="s">
        <v>47</v>
      </c>
      <c r="B11" s="18">
        <f>-B6*Assumptions!B10</f>
        <v>-163763405892.08542</v>
      </c>
      <c r="C11" s="18">
        <f>-C6*Assumptions!B10</f>
        <v>-201313227956.29605</v>
      </c>
      <c r="D11" s="18">
        <f>-D6*Assumptions!B10</f>
        <v>-247472965827.8453</v>
      </c>
      <c r="E11" s="18">
        <f>-E6*Assumptions!B10</f>
        <v>-304216813953.8519</v>
      </c>
      <c r="F11" s="18">
        <f>-F6*Assumptions!B10</f>
        <v>-373971635983.1139</v>
      </c>
    </row>
    <row r="12" spans="1:6" x14ac:dyDescent="0.25">
      <c r="A12" t="s">
        <v>48</v>
      </c>
      <c r="B12" s="18">
        <f>-(B6-Assumptions!B29)*Assumptions!B11</f>
        <v>-8739892442.155115</v>
      </c>
      <c r="C12" s="18">
        <f>-(C6-B6)*Assumptions!B11</f>
        <v>-10743889637.22765</v>
      </c>
      <c r="D12" s="18">
        <f>-(D6-C6)*Assumptions!B11</f>
        <v>-13207389599.003366</v>
      </c>
      <c r="E12" s="18">
        <f>-(E6-D6)*Assumptions!B11</f>
        <v>-16235753149.90611</v>
      </c>
      <c r="F12" s="18">
        <f>-(F6-E6)*Assumptions!B11</f>
        <v>-19958499623.92095</v>
      </c>
    </row>
    <row r="13" spans="1:6" x14ac:dyDescent="0.25">
      <c r="A13" s="19" t="s">
        <v>49</v>
      </c>
      <c r="B13" s="20">
        <f>B9+B10+B11+B12</f>
        <v>84160341500.79529</v>
      </c>
      <c r="C13" s="20">
        <f>C9+C10+C11+C12</f>
        <v>103457728673.48601</v>
      </c>
      <c r="D13" s="20">
        <f>D9+D10+D11+D12</f>
        <v>127179873933.5616</v>
      </c>
      <c r="E13" s="20">
        <f>E9+E10+E11+E12</f>
        <v>156341343862.32535</v>
      </c>
      <c r="F13" s="20">
        <f>F9+F10+F11+F12</f>
        <v>192189338176.6253</v>
      </c>
    </row>
    <row r="14" spans="1:6" x14ac:dyDescent="0.25">
      <c r="A14" t="s">
        <v>50</v>
      </c>
      <c r="B14" s="21">
        <f>1/(1+Assumptions!$B$26)^(1-0.5*Assumptions!$B$32)</f>
        <v>0.9480377031821823</v>
      </c>
      <c r="C14" s="21">
        <f>1/(1+Assumptions!$B$26)^(2-0.5*Assumptions!$B$32)</f>
        <v>0.8520730480448045</v>
      </c>
      <c r="D14" s="21">
        <f>1/(1+Assumptions!$B$26)^(3-0.5*Assumptions!$B$32)</f>
        <v>0.7658223684220337</v>
      </c>
      <c r="E14" s="21">
        <f>1/(1+Assumptions!$B$26)^(4-0.5*Assumptions!$B$32)</f>
        <v>0.6883023718697578</v>
      </c>
      <c r="F14" s="21">
        <f>1/(1+Assumptions!$B$26)^(5-0.5*Assumptions!$B$32)</f>
        <v>0.6186292992429963</v>
      </c>
    </row>
    <row r="15" spans="1:6" x14ac:dyDescent="0.25">
      <c r="A15" s="19" t="s">
        <v>51</v>
      </c>
      <c r="B15" s="20">
        <f>B13*B14</f>
        <v>79787176855.44206</v>
      </c>
      <c r="C15" s="20">
        <f>C13*C14</f>
        <v>88153542214.60959</v>
      </c>
      <c r="D15" s="20">
        <f>D13*D14</f>
        <v>97397192271.4158</v>
      </c>
      <c r="E15" s="20">
        <f>E13*E14</f>
        <v>107610117801.74394</v>
      </c>
      <c r="F15" s="20">
        <f>F13*F14</f>
        <v>118893955598.18094</v>
      </c>
    </row>
    <row r="17" spans="1:2" x14ac:dyDescent="0.25">
      <c r="A17" s="22" t="s">
        <v>52</v>
      </c>
      <c r="B17" s="23">
        <f>SUM(B15:F15)</f>
        <v>491841984741.39233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192189338176.6253</v>
      </c>
    </row>
    <row r="5" spans="1:2" x14ac:dyDescent="0.25">
      <c r="A5" t="s">
        <v>56</v>
      </c>
      <c r="B5" s="18">
        <f>IF(Assumptions!$B$33=0,B4,B4-Forecast!F11-Forecast!F10-Forecast!F12)</f>
        <v>424112797381.30194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0.22197574899451883</v>
      </c>
    </row>
    <row r="7" spans="1:2" x14ac:dyDescent="0.25">
      <c r="A7" t="s">
        <v>58</v>
      </c>
      <c r="B7" s="18">
        <f>-MAX(Forecast!F9,0)*B6</f>
        <v>-94142755856.8751</v>
      </c>
    </row>
    <row r="8" spans="1:2" x14ac:dyDescent="0.25">
      <c r="A8" t="s">
        <v>59</v>
      </c>
      <c r="B8" s="18">
        <f>IF(OR(Assumptions!$B$33=0,Assumptions!B12&lt;=0),B5,MAX(B5+B7,0))</f>
        <v>329970041524.4268</v>
      </c>
    </row>
    <row r="9" spans="1:2" x14ac:dyDescent="0.25">
      <c r="A9" t="s">
        <v>60</v>
      </c>
      <c r="B9" s="18">
        <f>B8*(1+Assumptions!B12)/(Assumptions!B26-Assumptions!B12)</f>
        <v>3859852990131.879</v>
      </c>
    </row>
    <row r="10" spans="1:2" x14ac:dyDescent="0.25">
      <c r="A10" t="s">
        <v>61</v>
      </c>
      <c r="B10" s="18">
        <f>B9/(1+Assumptions!B26)^(5-0.5*Assumptions!B32)</f>
        <v>2387818150466.268</v>
      </c>
    </row>
    <row r="11" spans="1:2" x14ac:dyDescent="0.25">
      <c r="A11" t="s">
        <v>62</v>
      </c>
      <c r="B11" s="18">
        <f>Forecast!B17+B10</f>
        <v>2879660135207.66</v>
      </c>
    </row>
    <row r="12" spans="1:2" x14ac:dyDescent="0.25">
      <c r="A12" t="s">
        <v>63</v>
      </c>
      <c r="B12" s="18">
        <f>-Assumptions!B30</f>
        <v>-580746100000</v>
      </c>
    </row>
    <row r="13" spans="1:2" x14ac:dyDescent="0.25">
      <c r="A13" t="s">
        <v>64</v>
      </c>
      <c r="B13" s="18">
        <f>B11+B12</f>
        <v>2298914035207.66</v>
      </c>
    </row>
    <row r="14" spans="1:2" x14ac:dyDescent="0.25">
      <c r="A14" s="19" t="s">
        <v>65</v>
      </c>
      <c r="B14" s="24">
        <f>B13/Assumptions!B31</f>
        <v>1045.3659098263504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658115207657.1387</v>
      </c>
    </row>
    <row r="18" spans="1:2" x14ac:dyDescent="0.25">
      <c r="A18" t="s">
        <v>60</v>
      </c>
      <c r="B18" s="18">
        <f>B17*Assumptions!B13</f>
        <v>13162304153142.773</v>
      </c>
    </row>
    <row r="19" spans="1:2" x14ac:dyDescent="0.25">
      <c r="A19" t="s">
        <v>61</v>
      </c>
      <c r="B19" s="18">
        <f>B18/(1+Assumptions!B26)^(5-0.5*Assumptions!B32)</f>
        <v>8142586994681.894</v>
      </c>
    </row>
    <row r="20" spans="1:2" x14ac:dyDescent="0.25">
      <c r="A20" t="s">
        <v>62</v>
      </c>
      <c r="B20" s="18">
        <f>Forecast!B17+B19</f>
        <v>8634428979423.286</v>
      </c>
    </row>
    <row r="21" spans="1:2" x14ac:dyDescent="0.25">
      <c r="A21" t="s">
        <v>63</v>
      </c>
      <c r="B21" s="18">
        <f>-Assumptions!B30</f>
        <v>-580746100000</v>
      </c>
    </row>
    <row r="22" spans="1:2" x14ac:dyDescent="0.25">
      <c r="A22" t="s">
        <v>64</v>
      </c>
      <c r="B22" s="18">
        <f>B20+B21</f>
        <v>8053682879423.286</v>
      </c>
    </row>
    <row r="23" spans="1:2" x14ac:dyDescent="0.25">
      <c r="A23" s="19" t="s">
        <v>65</v>
      </c>
      <c r="B23" s="25">
        <f>B22/Assumptions!B31</f>
        <v>3662.183710118911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1045.3659098263504</v>
      </c>
    </row>
    <row r="29" spans="1:2" x14ac:dyDescent="0.25">
      <c r="A29" s="19" t="s">
        <v>73</v>
      </c>
      <c r="B29" s="12">
        <f>B28/B26-1</f>
        <v>-0.4268827248759044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0.092625</v>
      </c>
      <c r="B5" s="31">
        <v>1414.1333112289199</v>
      </c>
      <c r="C5" s="31">
        <v>1431.8012216069765</v>
      </c>
      <c r="D5" s="31">
        <v>1451.1415894046356</v>
      </c>
      <c r="E5" s="31">
        <v>1472.5550032253927</v>
      </c>
      <c r="F5" s="31">
        <v>1496.5810845936994</v>
      </c>
    </row>
    <row r="6" spans="1:6" x14ac:dyDescent="0.25">
      <c r="A6" s="30">
        <v>0.102625</v>
      </c>
      <c r="B6" s="31">
        <v>1194.002156405491</v>
      </c>
      <c r="C6" s="31">
        <v>1200.0558237898977</v>
      </c>
      <c r="D6" s="31">
        <v>1206.109491174304</v>
      </c>
      <c r="E6" s="31">
        <v>1212.1631585587108</v>
      </c>
      <c r="F6" s="31">
        <v>1218.216825943117</v>
      </c>
    </row>
    <row r="7" spans="1:6" x14ac:dyDescent="0.25">
      <c r="A7" s="30">
        <v>0.112625</v>
      </c>
      <c r="B7" s="31">
        <v>1034.7715936698</v>
      </c>
      <c r="C7" s="31">
        <v>1040.068136835233</v>
      </c>
      <c r="D7" s="32">
        <v>1045.3646800006657</v>
      </c>
      <c r="E7" s="31">
        <v>1050.6612231660988</v>
      </c>
      <c r="F7" s="31">
        <v>1055.9577663315313</v>
      </c>
    </row>
    <row r="8" spans="1:6" x14ac:dyDescent="0.25">
      <c r="A8" s="30">
        <v>0.122625</v>
      </c>
      <c r="B8" s="31">
        <v>902.7997469359988</v>
      </c>
      <c r="C8" s="31">
        <v>907.4723809980951</v>
      </c>
      <c r="D8" s="31">
        <v>912.145015060191</v>
      </c>
      <c r="E8" s="31">
        <v>916.8176491222872</v>
      </c>
      <c r="F8" s="31">
        <v>921.4902831843833</v>
      </c>
    </row>
    <row r="9" spans="1:6" x14ac:dyDescent="0.25">
      <c r="A9" s="30">
        <v>0.132625</v>
      </c>
      <c r="B9" s="31">
        <v>791.8555756866959</v>
      </c>
      <c r="C9" s="31">
        <v>796.0068739802362</v>
      </c>
      <c r="D9" s="31">
        <v>800.1581722737764</v>
      </c>
      <c r="E9" s="31">
        <v>804.3094705673166</v>
      </c>
      <c r="F9" s="31">
        <v>808.4607688608568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387357700000</v>
      </c>
      <c r="C5" s="18">
        <v>304753300000</v>
      </c>
      <c r="D5" s="18">
        <v>267105600000</v>
      </c>
      <c r="E5" s="18">
        <v>208519100000</v>
      </c>
      <c r="F5" s="8" t="s">
        <v>84</v>
      </c>
    </row>
    <row r="6" spans="1:6" x14ac:dyDescent="0.25">
      <c r="A6" t="s">
        <v>44</v>
      </c>
      <c r="B6" s="18">
        <v>174508200000</v>
      </c>
      <c r="C6" s="18">
        <v>141169000000</v>
      </c>
      <c r="D6" s="18">
        <v>121532000000</v>
      </c>
      <c r="E6" s="18">
        <v>95127500000</v>
      </c>
      <c r="F6" s="8" t="s">
        <v>85</v>
      </c>
    </row>
    <row r="7" spans="1:6" x14ac:dyDescent="0.25">
      <c r="A7" t="s">
        <v>86</v>
      </c>
      <c r="B7" s="18">
        <v>55173800000</v>
      </c>
      <c r="C7" s="18">
        <v>43789300000</v>
      </c>
      <c r="D7" s="18">
        <v>38884600000</v>
      </c>
      <c r="E7" s="18">
        <v>34247100000</v>
      </c>
      <c r="F7" s="8" t="s">
        <v>87</v>
      </c>
    </row>
    <row r="8" spans="1:6" x14ac:dyDescent="0.25">
      <c r="A8" t="s">
        <v>88</v>
      </c>
      <c r="B8" s="18">
        <v>153203100000</v>
      </c>
      <c r="C8" s="18">
        <v>80489200000</v>
      </c>
      <c r="D8" s="18">
        <v>74163000000</v>
      </c>
      <c r="E8" s="18">
        <v>91410400000</v>
      </c>
      <c r="F8" s="8" t="s">
        <v>89</v>
      </c>
    </row>
    <row r="9" spans="1:6" x14ac:dyDescent="0.25">
      <c r="A9" t="s">
        <v>90</v>
      </c>
      <c r="B9" s="18">
        <v>30018900000</v>
      </c>
      <c r="C9" s="18">
        <v>3704600000</v>
      </c>
      <c r="D9" s="18">
        <v>95500000</v>
      </c>
      <c r="E9" s="18">
        <v>8741300000</v>
      </c>
      <c r="F9" s="8" t="s">
        <v>91</v>
      </c>
    </row>
    <row r="10" spans="1:6" x14ac:dyDescent="0.25">
      <c r="A10" t="s">
        <v>92</v>
      </c>
      <c r="B10" s="18">
        <v>632361600000</v>
      </c>
      <c r="C10" s="18">
        <v>513048200000</v>
      </c>
      <c r="D10" s="18">
        <v>491666600000</v>
      </c>
      <c r="E10" s="18">
        <v>524428400000</v>
      </c>
      <c r="F10" s="8" t="s">
        <v>93</v>
      </c>
    </row>
    <row r="11" spans="1:6" x14ac:dyDescent="0.25">
      <c r="A11" t="s">
        <v>94</v>
      </c>
      <c r="B11" s="18">
        <v>51615500000</v>
      </c>
      <c r="C11" s="18">
        <v>34063200000</v>
      </c>
      <c r="D11" s="18">
        <v>15757300000</v>
      </c>
      <c r="E11" s="18">
        <v>63531300000</v>
      </c>
      <c r="F11" s="8" t="s">
        <v>95</v>
      </c>
    </row>
    <row r="12" spans="1:6" x14ac:dyDescent="0.25">
      <c r="A12" t="s">
        <v>32</v>
      </c>
      <c r="B12" s="34">
        <v>2199147699</v>
      </c>
      <c r="C12" s="34">
        <v>2160138945</v>
      </c>
      <c r="D12" s="34">
        <v>2160138945</v>
      </c>
      <c r="E12" s="34">
        <v>2160138945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2026-09-19T00:07:54Z</dcterms:modified>
</cp:coreProperties>
</file>