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<sst xmlns="http://schemas.openxmlformats.org/spreadsheetml/2006/main" count="112" uniqueCount="100">
  <si>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Adobe Inc. (ADBE)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</si>
  <si>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</si>
  <si>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</si>
  <si>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</si>
  <si>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</si>
  <si>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</si>
  <si>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</si>
  <si>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</si>
  <si>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</si>
  <si>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</si>
  <si>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</si>
  <si>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</si>
  <si>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</si>
  <si>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</si>
  <si>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</si>
  <si>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</si>
  <si>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</si>
  <si>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</si>
  <si>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</si>
  <si>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</si>
  <si>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</si>
  <si>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</si>
  <si>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</si>
  <si>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</si>
  <si>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</si>
  <si>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</si>
  <si>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</si>
  <si>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</si>
  <si>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</si>
  <si>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</si>
  <si>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</si>
  <si>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</si>
  <si>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</si>
  <si>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</si>
  <si>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</si>
  <si>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</si>
  <si>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</si>
  <si>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</si>
  <si>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</si>
  <si>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</si>
  <si>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</si>
  <si>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</si>
  <si>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</si>
  <si>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</si>
  <si>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</si>
  <si>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</si>
  <si>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</si>
  <si>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</si>
  <si>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</si>
  <si>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</si>
  <si>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</si>
  <si>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</si>
  <si>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</si>
  <si>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</si>
  <si>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</si>
  <si>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</si>
  <si>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</si>
  <si>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</si>
  <si>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</si>
  <si>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</si>
  <si>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</si>
  <si>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</si>
  <si>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</si>
  <si>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</si>
  <si>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</si>
  <si>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</si>
  <si>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</si>
  <si>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</si>
  <si>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</si>
  <si>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</si>
  <si>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</si>
  <si>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</si>
  <si>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</si>
  <si>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</si>
  <si>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</si>
  <si>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</si>
  <si>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</si>
  <si>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</si>
  <si>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</si>
  <si>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</si>
  <si>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</si>
  <si>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</si>
  <si>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</si>
  <si>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</si>
  <si>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</si>
  <si>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</si>
  <si>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</si>
  <si>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</si>
  <si>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</si>
  <si>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</si>
  <si>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</si>
  <si>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</si>
  <si>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</si>
  <si>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</si>
  <si>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</si>
  <si>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</si>
  <si>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</si>
  <si>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</si>
  <si>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1.49% of revenue against depreciation of 4.20%. A business cannot depreciate more than it invests indefinitely. Capex has been set to 4.20%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</si>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</sst>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0.10522339932516123</v>
      </c>
    </row>
    <row r="7" spans="1:2" x14ac:dyDescent="0.25">
      <c r="A7" t="s">
        <v>5</v>
      </c>
      <c r="B7" s="6">
        <v>0.3538054878570727</v>
      </c>
    </row>
    <row r="8" spans="1:2" x14ac:dyDescent="0.25">
      <c r="A8" t="s">
        <v>6</v>
      </c>
      <c r="B8" s="6">
        <v>0.19972712766857068</v>
      </c>
    </row>
    <row r="9" spans="1:2" x14ac:dyDescent="0.25">
      <c r="A9" t="s">
        <v>7</v>
      </c>
      <c r="B9" s="6">
        <v>0.041953292652695644</v>
      </c>
    </row>
    <row r="10" spans="1:2" x14ac:dyDescent="0.25">
      <c r="A10" t="s">
        <v>8</v>
      </c>
      <c r="B10" s="6">
        <v>0.041953292652695644</v>
      </c>
    </row>
    <row r="11" spans="1:2" x14ac:dyDescent="0.25">
      <c r="A11" t="s">
        <v>9</v>
      </c>
      <c r="B11" s="6">
        <v>-0.06870229007633588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10.3946551600168</v>
      </c>
    </row>
    <row r="14" spans="1:3" x14ac:dyDescent="0.25">
      <c r="A14" t="s">
        <v>12</v>
      </c>
      <c r="B14" s="6">
        <v>0.2911835157324074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1.27939</v>
      </c>
      <c r="C19" s="8" t="s">
        <v>19</v>
      </c>
    </row>
    <row r="20" spans="1:2" x14ac:dyDescent="0.25">
      <c r="A20" t="s">
        <v>20</v>
      </c>
      <c r="B20" s="10">
        <f>B17+B19*B18</f>
        <v>0.12034645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98945695744</v>
      </c>
    </row>
    <row r="23" spans="1:2" x14ac:dyDescent="0.25">
      <c r="A23" t="s">
        <v>24</v>
      </c>
      <c r="B23" s="11">
        <v>6648000000</v>
      </c>
    </row>
    <row r="24" spans="1:2" x14ac:dyDescent="0.25">
      <c r="A24" t="s">
        <v>25</v>
      </c>
      <c r="B24" s="10">
        <f>B22/(B22+B23)</f>
        <v>0.9370416959728607</v>
      </c>
    </row>
    <row r="25" spans="1:2" x14ac:dyDescent="0.25">
      <c r="A25" t="s">
        <v>26</v>
      </c>
      <c r="B25" s="10">
        <f>1-B24</f>
        <v>0.06295830402713931</v>
      </c>
    </row>
    <row r="26" spans="1:2" x14ac:dyDescent="0.25">
      <c r="A26" t="s">
        <v>27</v>
      </c>
      <c r="B26" s="12">
        <f>B24*B20+B25*B21*(1-B8)</f>
        <v>0.11528782507590277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23769000000</v>
      </c>
      <c r="C29" s="8" t="s">
        <v>30</v>
      </c>
    </row>
    <row r="30" spans="1:2" x14ac:dyDescent="0.25">
      <c r="A30" t="s">
        <v>31</v>
      </c>
      <c r="B30" s="11">
        <v>53000000</v>
      </c>
    </row>
    <row r="31" spans="1:2" x14ac:dyDescent="0.25">
      <c r="A31" t="s">
        <v>32</v>
      </c>
      <c r="B31" s="13">
        <v>427000000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0.10522339932516123</v>
      </c>
      <c r="C5" s="10">
        <f>Assumptions!B6</f>
        <v>0.10522339932516123</v>
      </c>
      <c r="D5" s="10">
        <f>Assumptions!B6</f>
        <v>0.10522339932516123</v>
      </c>
      <c r="E5" s="10">
        <f>Assumptions!B6</f>
        <v>0.10522339932516123</v>
      </c>
      <c r="F5" s="10">
        <f>Assumptions!B6</f>
        <v>0.10522339932516123</v>
      </c>
    </row>
    <row r="6" spans="1:6" x14ac:dyDescent="0.25">
      <c r="A6" t="s">
        <v>43</v>
      </c>
      <c r="B6" s="18">
        <f>Assumptions!B29*(1+B5)</f>
        <v>26270054978.559757</v>
      </c>
      <c r="C6" s="18">
        <f>B6*(1+C5)</f>
        <v>29034279463.86269</v>
      </c>
      <c r="D6" s="18">
        <f>C6*(1+D5)</f>
        <v>32089365046.007042</v>
      </c>
      <c r="E6" s="18">
        <f>D6*(1+E5)</f>
        <v>35465917118.33391</v>
      </c>
      <c r="F6" s="18">
        <f>E6*(1+F5)</f>
        <v>39197761477.70943</v>
      </c>
    </row>
    <row r="7" spans="1:6" x14ac:dyDescent="0.25">
      <c r="A7" t="s">
        <v>5</v>
      </c>
      <c r="B7" s="10">
        <f>Assumptions!B7</f>
        <v>0.3538054878570727</v>
      </c>
      <c r="C7" s="10">
        <f>Assumptions!B7</f>
        <v>0.3538054878570727</v>
      </c>
      <c r="D7" s="10">
        <f>Assumptions!B7</f>
        <v>0.3538054878570727</v>
      </c>
      <c r="E7" s="10">
        <f>Assumptions!B7</f>
        <v>0.3538054878570727</v>
      </c>
      <c r="F7" s="10">
        <f>Assumptions!B7</f>
        <v>0.3538054878570727</v>
      </c>
    </row>
    <row r="8" spans="1:6" x14ac:dyDescent="0.25">
      <c r="A8" t="s">
        <v>44</v>
      </c>
      <c r="B8" s="18">
        <f>B6*B7</f>
        <v>9294489617.721457</v>
      </c>
      <c r="C8" s="18">
        <f>C6*C7</f>
        <v>10272487410.290527</v>
      </c>
      <c r="D8" s="18">
        <f>D6*D7</f>
        <v>11353393455.126219</v>
      </c>
      <c r="E8" s="18">
        <f>E6*E7</f>
        <v>12548036108.350636</v>
      </c>
      <c r="F8" s="18">
        <f>F6*F7</f>
        <v>13868383122.526155</v>
      </c>
    </row>
    <row r="9" spans="1:6" x14ac:dyDescent="0.25">
      <c r="A9" t="s">
        <v>45</v>
      </c>
      <c r="B9" s="18">
        <f>B8*(1-Assumptions!B8)</f>
        <v>7438127903.228599</v>
      </c>
      <c r="C9" s="18">
        <f>C8*(1-Assumptions!B8)</f>
        <v>8220793005.821646</v>
      </c>
      <c r="D9" s="18">
        <f>D8*(1-Assumptions!B8)</f>
        <v>9085812791.04271</v>
      </c>
      <c r="E9" s="18">
        <f>E8*(1-Assumptions!B8)</f>
        <v>10041852898.548254</v>
      </c>
      <c r="F9" s="18">
        <f>F8*(1-Assumptions!B8)</f>
        <v>11098490796.056723</v>
      </c>
    </row>
    <row r="10" spans="1:6" x14ac:dyDescent="0.25">
      <c r="A10" t="s">
        <v>46</v>
      </c>
      <c r="B10" s="18">
        <f>B6*Assumptions!B9</f>
        <v>1102115304.5179217</v>
      </c>
      <c r="C10" s="18">
        <f>C6*Assumptions!B9</f>
        <v>1218083623.3075826</v>
      </c>
      <c r="D10" s="18">
        <f>D6*Assumptions!B9</f>
        <v>1346254522.8143156</v>
      </c>
      <c r="E10" s="18">
        <f>E6*Assumptions!B9</f>
        <v>1487912000.0617106</v>
      </c>
      <c r="F10" s="18">
        <f>F6*Assumptions!B9</f>
        <v>1644475158.6049032</v>
      </c>
    </row>
    <row r="11" spans="1:6" x14ac:dyDescent="0.25">
      <c r="A11" t="s">
        <v>47</v>
      </c>
      <c r="B11" s="18">
        <f>-B6*Assumptions!B10</f>
        <v>-1102115304.5179217</v>
      </c>
      <c r="C11" s="18">
        <f>-C6*Assumptions!B10</f>
        <v>-1218083623.3075826</v>
      </c>
      <c r="D11" s="18">
        <f>-D6*Assumptions!B10</f>
        <v>-1346254522.8143156</v>
      </c>
      <c r="E11" s="18">
        <f>-E6*Assumptions!B10</f>
        <v>-1487912000.0617106</v>
      </c>
      <c r="F11" s="18">
        <f>-F6*Assumptions!B10</f>
        <v>-1644475158.6049032</v>
      </c>
    </row>
    <row r="12" spans="1:6" x14ac:dyDescent="0.25">
      <c r="A12" t="s">
        <v>48</v>
      </c>
      <c r="B12" s="18">
        <f>-(B6-Assumptions!B29)*Assumptions!B11</f>
        <v>171828204.63387647</v>
      </c>
      <c r="C12" s="18">
        <f>-(C6-B6)*Assumptions!B11</f>
        <v>189908552.42539233</v>
      </c>
      <c r="D12" s="18">
        <f>-(D6-C6)*Assumptions!B11</f>
        <v>209891375.87251273</v>
      </c>
      <c r="E12" s="18">
        <f>-(E6-D6)*Assumptions!B11</f>
        <v>231976859.9308534</v>
      </c>
      <c r="F12" s="18">
        <f>-(F6-E6)*Assumptions!B11</f>
        <v>256386253.69755474</v>
      </c>
    </row>
    <row r="13" spans="1:6" x14ac:dyDescent="0.25">
      <c r="A13" s="19" t="s">
        <v>49</v>
      </c>
      <c r="B13" s="20">
        <f>B9+B10+B11+B12</f>
        <v>7609956107.862475</v>
      </c>
      <c r="C13" s="20">
        <f>C9+C10+C11+C12</f>
        <v>8410701558.247038</v>
      </c>
      <c r="D13" s="20">
        <f>D9+D10+D11+D12</f>
        <v>9295704166.915222</v>
      </c>
      <c r="E13" s="20">
        <f>E9+E10+E11+E12</f>
        <v>10273829758.479107</v>
      </c>
      <c r="F13" s="20">
        <f>F9+F10+F11+F12</f>
        <v>11354877049.754276</v>
      </c>
    </row>
    <row r="14" spans="1:6" x14ac:dyDescent="0.25">
      <c r="A14" t="s">
        <v>50</v>
      </c>
      <c r="B14" s="21">
        <f>1/(1+Assumptions!$B$26)^(1-0.5*Assumptions!$B$32)</f>
        <v>0.9469052388826315</v>
      </c>
      <c r="C14" s="21">
        <f>1/(1+Assumptions!$B$26)^(2-0.5*Assumptions!$B$32)</f>
        <v>0.8490232006416712</v>
      </c>
      <c r="D14" s="21">
        <f>1/(1+Assumptions!$B$26)^(3-0.5*Assumptions!$B$32)</f>
        <v>0.7612592745589145</v>
      </c>
      <c r="E14" s="21">
        <f>1/(1+Assumptions!$B$26)^(4-0.5*Assumptions!$B$32)</f>
        <v>0.6825675466394566</v>
      </c>
      <c r="F14" s="21">
        <f>1/(1+Assumptions!$B$26)^(5-0.5*Assumptions!$B$32)</f>
        <v>0.6120102195081376</v>
      </c>
    </row>
    <row r="15" spans="1:6" x14ac:dyDescent="0.25">
      <c r="A15" s="19" t="s">
        <v>51</v>
      </c>
      <c r="B15" s="20">
        <f>B13*B14</f>
        <v>7205907306.201858</v>
      </c>
      <c r="C15" s="20">
        <f>C13*C14</f>
        <v>7140880756.624792</v>
      </c>
      <c r="D15" s="20">
        <f>D13*D14</f>
        <v>7076441010.620161</v>
      </c>
      <c r="E15" s="20">
        <f>E13*E14</f>
        <v>7012582772.836525</v>
      </c>
      <c r="F15" s="20">
        <f>F13*F14</f>
        <v>6949300795.708029</v>
      </c>
    </row>
    <row r="17" spans="1:2" x14ac:dyDescent="0.25">
      <c r="A17" s="22" t="s">
        <v>52</v>
      </c>
      <c r="B17" s="23">
        <f>SUM(B15:F15)</f>
        <v>35385112641.99136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11354877049.754276</v>
      </c>
    </row>
    <row r="5" spans="1:2" x14ac:dyDescent="0.25">
      <c r="A5" t="s">
        <v>56</v>
      </c>
      <c r="B5" s="18">
        <f>IF(Assumptions!$B$33=0,B4,B4-Forecast!F11-Forecast!F10-Forecast!F12)</f>
        <v>11098490796.056723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0.08585650852218765</v>
      </c>
    </row>
    <row r="7" spans="1:2" x14ac:dyDescent="0.25">
      <c r="A7" t="s">
        <v>58</v>
      </c>
      <c r="B7" s="18">
        <f>-MAX(Forecast!F9,0)*B6</f>
        <v>-952877669.6150652</v>
      </c>
    </row>
    <row r="8" spans="1:2" x14ac:dyDescent="0.25">
      <c r="A8" t="s">
        <v>59</v>
      </c>
      <c r="B8" s="18">
        <f>IF(OR(Assumptions!$B$33=0,Assumptions!B12&lt;=0),B5,MAX(B5+B7,0))</f>
        <v>10145613126.441658</v>
      </c>
    </row>
    <row r="9" spans="1:2" x14ac:dyDescent="0.25">
      <c r="A9" t="s">
        <v>60</v>
      </c>
      <c r="B9" s="18">
        <f>B8*(1+Assumptions!B12)/(Assumptions!B26-Assumptions!B12)</f>
        <v>115178911950.31335</v>
      </c>
    </row>
    <row r="10" spans="1:2" x14ac:dyDescent="0.25">
      <c r="A10" t="s">
        <v>61</v>
      </c>
      <c r="B10" s="18">
        <f>B9/(1+Assumptions!B26)^(5-0.5*Assumptions!B32)</f>
        <v>70490671185.41972</v>
      </c>
    </row>
    <row r="11" spans="1:2" x14ac:dyDescent="0.25">
      <c r="A11" t="s">
        <v>62</v>
      </c>
      <c r="B11" s="18">
        <f>Forecast!B17+B10</f>
        <v>105875783827.41109</v>
      </c>
    </row>
    <row r="12" spans="1:2" x14ac:dyDescent="0.25">
      <c r="A12" t="s">
        <v>63</v>
      </c>
      <c r="B12" s="18">
        <f>-Assumptions!B30</f>
        <v>-53000000</v>
      </c>
    </row>
    <row r="13" spans="1:2" x14ac:dyDescent="0.25">
      <c r="A13" t="s">
        <v>64</v>
      </c>
      <c r="B13" s="18">
        <f>B11+B12</f>
        <v>105822783827.41109</v>
      </c>
    </row>
    <row r="14" spans="1:2" x14ac:dyDescent="0.25">
      <c r="A14" s="19" t="s">
        <v>65</v>
      </c>
      <c r="B14" s="24">
        <f>B13/Assumptions!B31</f>
        <v>247.82853355365594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15512858281.131058</v>
      </c>
    </row>
    <row r="18" spans="1:2" x14ac:dyDescent="0.25">
      <c r="A18" t="s">
        <v>60</v>
      </c>
      <c r="B18" s="18">
        <f>B17*Assumptions!B13</f>
        <v>161250812378.5683</v>
      </c>
    </row>
    <row r="19" spans="1:2" x14ac:dyDescent="0.25">
      <c r="A19" t="s">
        <v>61</v>
      </c>
      <c r="B19" s="18">
        <f>B18/(1+Assumptions!B26)^(5-0.5*Assumptions!B32)</f>
        <v>98687145079.6731</v>
      </c>
    </row>
    <row r="20" spans="1:2" x14ac:dyDescent="0.25">
      <c r="A20" t="s">
        <v>62</v>
      </c>
      <c r="B20" s="18">
        <f>Forecast!B17+B19</f>
        <v>134072257721.66446</v>
      </c>
    </row>
    <row r="21" spans="1:2" x14ac:dyDescent="0.25">
      <c r="A21" t="s">
        <v>63</v>
      </c>
      <c r="B21" s="18">
        <f>-Assumptions!B30</f>
        <v>-53000000</v>
      </c>
    </row>
    <row r="22" spans="1:2" x14ac:dyDescent="0.25">
      <c r="A22" t="s">
        <v>64</v>
      </c>
      <c r="B22" s="18">
        <f>B20+B21</f>
        <v>134019257721.66446</v>
      </c>
    </row>
    <row r="23" spans="1:2" x14ac:dyDescent="0.25">
      <c r="A23" s="19" t="s">
        <v>65</v>
      </c>
      <c r="B23" s="25">
        <f>B22/Assumptions!B31</f>
        <v>313.86243026150925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248.92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247.82853355365594</v>
      </c>
    </row>
    <row r="29" spans="1:2" x14ac:dyDescent="0.25">
      <c r="A29" s="19" t="s">
        <v>73</v>
      </c>
      <c r="B29" s="12">
        <f>B28/B26-1</f>
        <v>-0.004384808156612685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0.095288</v>
      </c>
      <c r="B5" s="31">
        <v>293.5010306338136</v>
      </c>
      <c r="C5" s="31">
        <v>304.31547337366595</v>
      </c>
      <c r="D5" s="31">
        <v>316.62634824686904</v>
      </c>
      <c r="E5" s="31">
        <v>330.7774624155392</v>
      </c>
      <c r="F5" s="31">
        <v>347.2266779655313</v>
      </c>
    </row>
    <row r="6" spans="1:6" x14ac:dyDescent="0.25">
      <c r="A6" s="30">
        <v>0.105288</v>
      </c>
      <c r="B6" s="31">
        <v>261.25471179511794</v>
      </c>
      <c r="C6" s="31">
        <v>269.12888425969754</v>
      </c>
      <c r="D6" s="31">
        <v>277.94836941550864</v>
      </c>
      <c r="E6" s="31">
        <v>287.90150657782675</v>
      </c>
      <c r="F6" s="31">
        <v>299.2302258072257</v>
      </c>
    </row>
    <row r="7" spans="1:6" x14ac:dyDescent="0.25">
      <c r="A7" s="30">
        <v>0.115288</v>
      </c>
      <c r="B7" s="31">
        <v>235.4461654009751</v>
      </c>
      <c r="C7" s="31">
        <v>241.32659328247013</v>
      </c>
      <c r="D7" s="32">
        <v>247.82806494885176</v>
      </c>
      <c r="E7" s="31">
        <v>255.05980627918038</v>
      </c>
      <c r="F7" s="31">
        <v>263.1582516716127</v>
      </c>
    </row>
    <row r="8" spans="1:6" x14ac:dyDescent="0.25">
      <c r="A8" s="30">
        <v>0.125288</v>
      </c>
      <c r="B8" s="31">
        <v>214.32416800900484</v>
      </c>
      <c r="C8" s="31">
        <v>218.80492353224392</v>
      </c>
      <c r="D8" s="31">
        <v>223.70630388226698</v>
      </c>
      <c r="E8" s="31">
        <v>229.09452277330624</v>
      </c>
      <c r="F8" s="31">
        <v>235.0504611431966</v>
      </c>
    </row>
    <row r="9" spans="1:6" x14ac:dyDescent="0.25">
      <c r="A9" s="30">
        <v>0.135288</v>
      </c>
      <c r="B9" s="31">
        <v>196.7198281691472</v>
      </c>
      <c r="C9" s="31">
        <v>200.19004871117247</v>
      </c>
      <c r="D9" s="31">
        <v>203.95205700446772</v>
      </c>
      <c r="E9" s="31">
        <v>208.04742299308228</v>
      </c>
      <c r="F9" s="31">
        <v>212.52600673434878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23769000000</v>
      </c>
      <c r="C5" s="18">
        <v>21505000000</v>
      </c>
      <c r="D5" s="18">
        <v>19409000000</v>
      </c>
      <c r="E5" s="18">
        <v>17606000000</v>
      </c>
      <c r="F5" s="8" t="s">
        <v>84</v>
      </c>
    </row>
    <row r="6" spans="1:6" x14ac:dyDescent="0.25">
      <c r="A6" t="s">
        <v>44</v>
      </c>
      <c r="B6" s="18">
        <v>8706000000</v>
      </c>
      <c r="C6" s="18">
        <v>7741000000</v>
      </c>
      <c r="D6" s="18">
        <v>6650000000</v>
      </c>
      <c r="E6" s="18">
        <v>6098000000</v>
      </c>
      <c r="F6" s="8" t="s">
        <v>85</v>
      </c>
    </row>
    <row r="7" spans="1:6" x14ac:dyDescent="0.25">
      <c r="A7" t="s">
        <v>86</v>
      </c>
      <c r="B7" s="18">
        <v>818000000</v>
      </c>
      <c r="C7" s="18">
        <v>857000000</v>
      </c>
      <c r="D7" s="18">
        <v>872000000</v>
      </c>
      <c r="E7" s="18">
        <v>856000000</v>
      </c>
      <c r="F7" s="8" t="s">
        <v>87</v>
      </c>
    </row>
    <row r="8" spans="1:6" x14ac:dyDescent="0.25">
      <c r="A8" t="s">
        <v>88</v>
      </c>
      <c r="B8" s="18">
        <v>179000000</v>
      </c>
      <c r="C8" s="18">
        <v>183000000</v>
      </c>
      <c r="D8" s="18">
        <v>360000000</v>
      </c>
      <c r="E8" s="18">
        <v>442000000</v>
      </c>
      <c r="F8" s="8" t="s">
        <v>89</v>
      </c>
    </row>
    <row r="9" spans="1:6" x14ac:dyDescent="0.25">
      <c r="A9" t="s">
        <v>90</v>
      </c>
      <c r="B9" s="18">
        <v>-605000000</v>
      </c>
      <c r="C9" s="18">
        <v>-144000000</v>
      </c>
      <c r="D9" s="18">
        <v>355000000</v>
      </c>
      <c r="E9" s="18">
        <v>-336000000</v>
      </c>
      <c r="F9" s="8" t="s">
        <v>91</v>
      </c>
    </row>
    <row r="10" spans="1:6" x14ac:dyDescent="0.25">
      <c r="A10" t="s">
        <v>92</v>
      </c>
      <c r="B10" s="18">
        <v>6648000000</v>
      </c>
      <c r="C10" s="18">
        <v>6056000000</v>
      </c>
      <c r="D10" s="18">
        <v>4080000000</v>
      </c>
      <c r="E10" s="18">
        <v>4633000000</v>
      </c>
      <c r="F10" s="8" t="s">
        <v>93</v>
      </c>
    </row>
    <row r="11" spans="1:6" x14ac:dyDescent="0.25">
      <c r="A11" t="s">
        <v>94</v>
      </c>
      <c r="B11" s="18">
        <v>6595000000</v>
      </c>
      <c r="C11" s="18">
        <v>7886000000</v>
      </c>
      <c r="D11" s="18">
        <v>7842000000</v>
      </c>
      <c r="E11" s="18">
        <v>6096000000</v>
      </c>
      <c r="F11" s="8" t="s">
        <v>95</v>
      </c>
    </row>
    <row r="12" spans="1:6" x14ac:dyDescent="0.25">
      <c r="A12" t="s">
        <v>32</v>
      </c>
      <c r="B12" s="34">
        <v>427000000</v>
      </c>
      <c r="C12" s="34">
        <v>450000000</v>
      </c>
      <c r="D12" s="34">
        <v>459000000</v>
      </c>
      <c r="E12" s="34">
        <v>471000000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