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<sst xmlns="http://schemas.openxmlformats.org/spreadsheetml/2006/main" count="120" uniqueCount="107">
  <si>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Adobe Inc. (ADBE)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</si>
  <si>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</si>
  <si>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</si>
  <si>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</si>
  <si>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</si>
  <si>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</si>
  <si>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</si>
  <si>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</si>
  <si>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</si>
  <si>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</si>
  <si>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</si>
  <si>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</si>
  <si>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</si>
  <si>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</si>
  <si>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</si>
  <si>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</si>
  <si>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</si>
  <si>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</si>
  <si>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</si>
  <si>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</si>
  <si>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</si>
  <si>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</si>
  <si>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</si>
  <si>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</si>
  <si>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33.1x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</si>
  <si>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</si>
  <si>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</si>
  <si>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</si>
  <si>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</si>
  <si>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</si>
  <si>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</si>
  <si>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</si>
  <si>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2025-11-30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</si>
  <si>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</si>
  <si>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</si>
  <si>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</si>
  <si>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</si>
  <si>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</si>
  <si>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</si>
  <si>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</si>
  <si>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</si>
  <si>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</si>
  <si>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</si>
  <si>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</si>
  <si>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</si>
  <si>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</si>
  <si>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</si>
  <si>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</si>
  <si>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</si>
  <si>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</si>
  <si>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</si>
  <si>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</si>
  <si>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</si>
  <si>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</si>
  <si>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</si>
  <si>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</si>
  <si>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</si>
  <si>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</si>
  <si>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</si>
  <si>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</si>
  <si>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</si>
  <si>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</si>
  <si>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</si>
  <si>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</si>
  <si>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</si>
  <si>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</si>
  <si>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</si>
  <si>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</si>
  <si>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</si>
  <si>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</si>
  <si>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</si>
  <si>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</si>
  <si>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</si>
  <si>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</si>
  <si>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</si>
  <si>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</si>
  <si>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</si>
  <si>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</si>
  <si>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</si>
  <si>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</si>
  <si>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</si>
  <si>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</si>
  <si>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</si>
  <si>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</si>
  <si>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</si>
  <si>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</si>
  <si>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2025-11-30</t>
  </si>
  <si>
    <t>2024-11-30</t>
  </si>
  <si>
    <t>2023-11-30</t>
  </si>
  <si>
    <t>2022-11-30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</si>
  <si>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</si>
  <si>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</si>
  <si>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</si>
  <si>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</si>
  <si>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</si>
  <si>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</si>
  <si>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</si>
  <si>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</si>
  <si>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</si>
  <si>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</si>
  <si>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</si>
  <si>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</si>
  <si>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</si>
  <si>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</si>
  <si>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</si>
  <si>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1.49% of revenue against depreciation of 4.20%. A business cannot depreciate more than it invests indefinitely. Capex has been set to 4.20%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</si>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</sst>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0.11940671673187775</v>
      </c>
    </row>
    <row r="7" spans="1:2" x14ac:dyDescent="0.25">
      <c r="A7" t="s">
        <v>4</v>
      </c>
      <c r="B7" s="5">
        <v>0.3538054878570727</v>
      </c>
    </row>
    <row r="8" spans="1:2" x14ac:dyDescent="0.25">
      <c r="A8" t="s">
        <v>5</v>
      </c>
      <c r="B8" s="5">
        <v>0.19972712766857068</v>
      </c>
    </row>
    <row r="9" spans="1:2" x14ac:dyDescent="0.25">
      <c r="A9" t="s">
        <v>6</v>
      </c>
      <c r="B9" s="5">
        <v>0.041953292652695644</v>
      </c>
    </row>
    <row r="10" spans="1:3" x14ac:dyDescent="0.25">
      <c r="A10" t="s">
        <v>7</v>
      </c>
      <c r="B10" s="5">
        <v>0.041953292652695644</v>
      </c>
      <c r="C10" s="6" t="s">
        <v>8</v>
      </c>
    </row>
    <row r="11" spans="1:2" x14ac:dyDescent="0.25">
      <c r="A11" t="s">
        <v>9</v>
      </c>
      <c r="B11" s="5">
        <v>0.08841739632561993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10.281932586308274</v>
      </c>
    </row>
    <row r="14" spans="1:3" x14ac:dyDescent="0.25">
      <c r="A14" t="s">
        <v>12</v>
      </c>
      <c r="B14" s="5">
        <v>0.2911835157324074</v>
      </c>
      <c r="C14" s="6" t="s">
        <v>13</v>
      </c>
    </row>
    <row r="15" spans="1:3" x14ac:dyDescent="0.25">
      <c r="A15" t="s">
        <v>14</v>
      </c>
      <c r="B15" s="5">
        <v>0.041953292652695644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1.25661</v>
      </c>
      <c r="C19" s="6" t="s">
        <v>21</v>
      </c>
    </row>
    <row r="20" spans="1:2" x14ac:dyDescent="0.25">
      <c r="A20" t="s">
        <v>22</v>
      </c>
      <c r="B20" s="9">
        <f>B17+B19*B18</f>
        <v>0.102094603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97872125952</v>
      </c>
    </row>
    <row r="23" spans="1:2" x14ac:dyDescent="0.25">
      <c r="A23" t="s">
        <v>26</v>
      </c>
      <c r="B23" s="10">
        <v>6648000000</v>
      </c>
    </row>
    <row r="24" spans="1:2" x14ac:dyDescent="0.25">
      <c r="A24" t="s">
        <v>27</v>
      </c>
      <c r="B24" s="9">
        <f>B22/(B22+B23)</f>
        <v>0.9363950249825279</v>
      </c>
    </row>
    <row r="25" spans="1:2" x14ac:dyDescent="0.25">
      <c r="A25" t="s">
        <v>28</v>
      </c>
      <c r="B25" s="9">
        <f>1-B24</f>
        <v>0.06360497501747209</v>
      </c>
    </row>
    <row r="26" spans="1:2" x14ac:dyDescent="0.25">
      <c r="A26" t="s">
        <v>29</v>
      </c>
      <c r="B26" s="11">
        <f>B24*B20+B25*B21*(1-B8)</f>
        <v>0.09829559505734864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23769000000</v>
      </c>
      <c r="C29" s="6" t="s">
        <v>32</v>
      </c>
    </row>
    <row r="30" spans="1:2" x14ac:dyDescent="0.25">
      <c r="A30" t="s">
        <v>33</v>
      </c>
      <c r="B30" s="10">
        <v>53000000</v>
      </c>
    </row>
    <row r="31" spans="1:2" x14ac:dyDescent="0.25">
      <c r="A31" t="s">
        <v>34</v>
      </c>
      <c r="B31" s="12">
        <v>427000000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0.11940671673187775</v>
      </c>
      <c r="C5" s="5">
        <v>0.09121284027929577</v>
      </c>
      <c r="D5" s="5">
        <v>0.0829362352443838</v>
      </c>
      <c r="E5" s="5">
        <v>0.07465963020947183</v>
      </c>
      <c r="F5" s="5">
        <v>0.06638302517455985</v>
      </c>
      <c r="G5" s="5">
        <v>0.05810642013964788</v>
      </c>
      <c r="H5" s="5">
        <v>0.049829815104735914</v>
      </c>
      <c r="I5" s="5">
        <v>0.04155321006982394</v>
      </c>
      <c r="J5" s="5">
        <v>0.03327660503491196</v>
      </c>
      <c r="K5" s="5">
        <v>0.024999999999999994</v>
      </c>
    </row>
    <row r="6" spans="1:11" x14ac:dyDescent="0.25">
      <c r="A6" t="s">
        <v>50</v>
      </c>
      <c r="B6" s="18">
        <f>Assumptions!B29*(1+B5)</f>
        <v>26607178250.000004</v>
      </c>
      <c r="C6" s="18">
        <f>B6*(1+C5)</f>
        <v>29034094550.000008</v>
      </c>
      <c r="D6" s="18">
        <f>C6*(1+D5)</f>
        <v>31442073045.706493</v>
      </c>
      <c r="E6" s="18">
        <f>D6*(1+E5)</f>
        <v>33789526592.31814</v>
      </c>
      <c r="F6" s="18">
        <f>E6*(1+F5)</f>
        <v>36032577586.73245</v>
      </c>
      <c r="G6" s="18">
        <f>F6*(1+G5)</f>
        <v>38126301678.70159</v>
      </c>
      <c r="H6" s="18">
        <f>G6*(1+H5)</f>
        <v>40026128241.97867</v>
      </c>
      <c r="I6" s="18">
        <f>H6*(1+I5)</f>
        <v>41689342357.09932</v>
      </c>
      <c r="J6" s="18">
        <f>I6*(1+J5)</f>
        <v>43076622136.881744</v>
      </c>
      <c r="K6" s="18">
        <f>J6*(1+K5)</f>
        <v>44153537690.30379</v>
      </c>
    </row>
    <row r="7" spans="1:11" x14ac:dyDescent="0.25">
      <c r="A7" t="s">
        <v>4</v>
      </c>
      <c r="B7" s="9">
        <f>Assumptions!B7</f>
        <v>0.3538054878570727</v>
      </c>
      <c r="C7" s="9">
        <f>Assumptions!B7</f>
        <v>0.3538054878570727</v>
      </c>
      <c r="D7" s="9">
        <f>Assumptions!B7</f>
        <v>0.3538054878570727</v>
      </c>
      <c r="E7" s="9">
        <f>Assumptions!B7</f>
        <v>0.3538054878570727</v>
      </c>
      <c r="F7" s="9">
        <f>Assumptions!B7</f>
        <v>0.3538054878570727</v>
      </c>
      <c r="G7" s="9">
        <f>Assumptions!B7</f>
        <v>0.3538054878570727</v>
      </c>
      <c r="H7" s="9">
        <f>Assumptions!B7</f>
        <v>0.3538054878570727</v>
      </c>
      <c r="I7" s="9">
        <f>Assumptions!B7</f>
        <v>0.3538054878570727</v>
      </c>
      <c r="J7" s="9">
        <f>Assumptions!B7</f>
        <v>0.3538054878570727</v>
      </c>
      <c r="K7" s="9">
        <f>Assumptions!B7</f>
        <v>0.3538054878570727</v>
      </c>
    </row>
    <row r="8" spans="1:11" x14ac:dyDescent="0.25">
      <c r="A8" t="s">
        <v>51</v>
      </c>
      <c r="B8" s="18">
        <f>B6*B7</f>
        <v>9413765681.241346</v>
      </c>
      <c r="C8" s="18">
        <f>C6*C7</f>
        <v>10272421986.75113</v>
      </c>
      <c r="D8" s="18">
        <f>D6*D7</f>
        <v>11124377993.173903</v>
      </c>
      <c r="E8" s="18">
        <f>E6*E7</f>
        <v>11954919940.45465</v>
      </c>
      <c r="F8" s="18">
        <f>F6*F7</f>
        <v>12748523691.8217</v>
      </c>
      <c r="G8" s="18">
        <f>G6*G7</f>
        <v>13489294765.618948</v>
      </c>
      <c r="H8" s="18">
        <f>H6*H7</f>
        <v>14161463829.68302</v>
      </c>
      <c r="I8" s="18">
        <f>I6*I7</f>
        <v>14749918111.094051</v>
      </c>
      <c r="J8" s="18">
        <f>J6*J7</f>
        <v>15240745310.374224</v>
      </c>
      <c r="K8" s="18">
        <f>K6*K7</f>
        <v>15621763943.13358</v>
      </c>
    </row>
    <row r="9" spans="1:11" x14ac:dyDescent="0.25">
      <c r="A9" t="s">
        <v>52</v>
      </c>
      <c r="B9" s="18">
        <f>B8*(1-Assumptions!B8)</f>
        <v>7533581301.182047</v>
      </c>
      <c r="C9" s="18">
        <f>C8*(1-Assumptions!B8)</f>
        <v>8220740649.137854</v>
      </c>
      <c r="D9" s="18">
        <f>D8*(1-Assumptions!B8)</f>
        <v>8902537929.49782</v>
      </c>
      <c r="E9" s="18">
        <f>E8*(1-Assumptions!B8)</f>
        <v>9567198119.239923</v>
      </c>
      <c r="F9" s="18">
        <f>F8*(1-Assumptions!B8)</f>
        <v>10202297672.839428</v>
      </c>
      <c r="G9" s="18">
        <f>G8*(1-Assumptions!B8)</f>
        <v>10795116667.80719</v>
      </c>
      <c r="H9" s="18">
        <f>H8*(1-Assumptions!B8)</f>
        <v>11333035335.398073</v>
      </c>
      <c r="I9" s="18">
        <f>I8*(1-Assumptions!B8)</f>
        <v>11803959333.418606</v>
      </c>
      <c r="J9" s="18">
        <f>J8*(1-Assumptions!B8)</f>
        <v>12196755026.00494</v>
      </c>
      <c r="K9" s="18">
        <f>K8*(1-Assumptions!B8)</f>
        <v>12501673901.655064</v>
      </c>
    </row>
    <row r="10" spans="1:11" x14ac:dyDescent="0.25">
      <c r="A10" t="s">
        <v>53</v>
      </c>
      <c r="B10" s="18">
        <f>B6*Assumptions!B9</f>
        <v>1116258735.7846885</v>
      </c>
      <c r="C10" s="18">
        <f>C6*Assumptions!B9</f>
        <v>1218075865.562186</v>
      </c>
      <c r="D10" s="18">
        <f>D6*Assumptions!B9</f>
        <v>1319098492.093958</v>
      </c>
      <c r="E10" s="18">
        <f>E6*Assumptions!B9</f>
        <v>1417581897.7235646</v>
      </c>
      <c r="F10" s="18">
        <f>F6*Assumptions!B9</f>
        <v>1511685272.5271482</v>
      </c>
      <c r="G10" s="18">
        <f>G6*Assumptions!B9</f>
        <v>1599523892.0915291</v>
      </c>
      <c r="H10" s="18">
        <f>H6*Assumptions!B9</f>
        <v>1679227871.8900573</v>
      </c>
      <c r="I10" s="18">
        <f>I6*Assumptions!B9</f>
        <v>1749005180.4058082</v>
      </c>
      <c r="J10" s="18">
        <f>J6*Assumptions!B9</f>
        <v>1807206134.9981873</v>
      </c>
      <c r="K10" s="18">
        <f>K6*Assumptions!B9</f>
        <v>1852386288.373142</v>
      </c>
    </row>
    <row r="11" spans="1:11" x14ac:dyDescent="0.25">
      <c r="A11" t="s">
        <v>54</v>
      </c>
      <c r="B11" s="18">
        <f>-B6*B19</f>
        <v>-1116258735.7846885</v>
      </c>
      <c r="C11" s="18">
        <f>-C6*C19</f>
        <v>-1296498542.1845636</v>
      </c>
      <c r="D11" s="18">
        <f>-D6*D19</f>
        <v>-1488952008.4524086</v>
      </c>
      <c r="E11" s="18">
        <f>-E6*E19</f>
        <v>-1691383973.3428915</v>
      </c>
      <c r="F11" s="18">
        <f>-F6*F19</f>
        <v>-1900989120.1244967</v>
      </c>
      <c r="G11" s="18">
        <f>-G6*G19</f>
        <v>-2114430017.7513058</v>
      </c>
      <c r="H11" s="18">
        <f>-H6*H19</f>
        <v>-2327904435.1272964</v>
      </c>
      <c r="I11" s="18">
        <f>-I6*I19</f>
        <v>-2537241529.932083</v>
      </c>
      <c r="J11" s="18">
        <f>-J6*J19</f>
        <v>-2738024625.5166125</v>
      </c>
      <c r="K11" s="18">
        <f>-K6*K19</f>
        <v>-2925736360.252201</v>
      </c>
    </row>
    <row r="12" spans="1:11" x14ac:dyDescent="0.25">
      <c r="A12" t="s">
        <v>55</v>
      </c>
      <c r="B12" s="18">
        <f>-(B6-Assumptions!B29)*Assumptions!B11</f>
        <v>-250944331.17300475</v>
      </c>
      <c r="C12" s="18">
        <f>-(C6-B6)*Assumptions!B11</f>
        <v>-214581620.34620744</v>
      </c>
      <c r="D12" s="18">
        <f>-(D6-C6)*Assumptions!B11</f>
        <v>-212907188.99845043</v>
      </c>
      <c r="E12" s="18">
        <f>-(E6-D6)*Assumptions!B11</f>
        <v>-207555730.58674392</v>
      </c>
      <c r="F12" s="18">
        <f>-(F6-E6)*Assumptions!B11</f>
        <v>-198324728.75170633</v>
      </c>
      <c r="G12" s="18">
        <f>-(G6-F6)*Assumptions!B11</f>
        <v>-185121632.83613408</v>
      </c>
      <c r="H12" s="18">
        <f>-(H6-G6)*Assumptions!B11</f>
        <v>-167977718.19520974</v>
      </c>
      <c r="I12" s="18">
        <f>-(I6-H6)*Assumptions!B11</f>
        <v>-147057061.59098786</v>
      </c>
      <c r="J12" s="18">
        <f>-(J6-I6)*Assumptions!B11</f>
        <v>-122659666.1035414</v>
      </c>
      <c r="K12" s="18">
        <f>-(K6-J6)*Assumptions!B11</f>
        <v>-95218069.29614109</v>
      </c>
    </row>
    <row r="13" spans="1:11" x14ac:dyDescent="0.25">
      <c r="A13" s="19" t="s">
        <v>56</v>
      </c>
      <c r="B13" s="20">
        <f>B9+B10+B11+B12</f>
        <v>7282636970.009042</v>
      </c>
      <c r="C13" s="20">
        <f>C9+C10+C11+C12</f>
        <v>7927736352.169268</v>
      </c>
      <c r="D13" s="20">
        <f>D9+D10+D11+D12</f>
        <v>8519777224.14092</v>
      </c>
      <c r="E13" s="20">
        <f>E9+E10+E11+E12</f>
        <v>9085840313.033852</v>
      </c>
      <c r="F13" s="20">
        <f>F9+F10+F11+F12</f>
        <v>9614669096.490374</v>
      </c>
      <c r="G13" s="20">
        <f>G9+G10+G11+G12</f>
        <v>10095088909.31128</v>
      </c>
      <c r="H13" s="20">
        <f>H9+H10+H11+H12</f>
        <v>10516381053.965624</v>
      </c>
      <c r="I13" s="20">
        <f>I9+I10+I11+I12</f>
        <v>10868665922.301342</v>
      </c>
      <c r="J13" s="20">
        <f>J9+J10+J11+J12</f>
        <v>11143276869.382973</v>
      </c>
      <c r="K13" s="20">
        <f>K9+K10+K11+K12</f>
        <v>11333105760.479864</v>
      </c>
    </row>
    <row r="14" spans="1:11" x14ac:dyDescent="0.25">
      <c r="A14" t="s">
        <v>57</v>
      </c>
      <c r="B14" s="21">
        <f>1/(1+Assumptions!$B$26)^(1-0.5*Assumptions!$B$32)</f>
        <v>0.9542021243797151</v>
      </c>
      <c r="C14" s="21">
        <f>1/(1+Assumptions!$B$26)^(2-0.5*Assumptions!$B$32)</f>
        <v>0.8688026508290698</v>
      </c>
      <c r="D14" s="21">
        <f>1/(1+Assumptions!$B$26)^(3-0.5*Assumptions!$B$32)</f>
        <v>0.7910462854799162</v>
      </c>
      <c r="E14" s="21">
        <f>1/(1+Assumptions!$B$26)^(4-0.5*Assumptions!$B$32)</f>
        <v>0.7202489830969512</v>
      </c>
      <c r="F14" s="21">
        <f>1/(1+Assumptions!$B$26)^(5-0.5*Assumptions!$B$32)</f>
        <v>0.655787919334542</v>
      </c>
      <c r="G14" s="21">
        <f>1/(1+Assumptions!$B$26)^(6-0.5*Assumptions!$B$32)</f>
        <v>0.5970960115708188</v>
      </c>
      <c r="H14" s="21">
        <f>1/(1+Assumptions!$B$26)^(7-0.5*Assumptions!$B$32)</f>
        <v>0.543656930117835</v>
      </c>
      <c r="I14" s="21">
        <f>1/(1+Assumptions!$B$26)^(8-0.5*Assumptions!$B$32)</f>
        <v>0.4950005559199638</v>
      </c>
      <c r="J14" s="21">
        <f>1/(1+Assumptions!$B$26)^(9-0.5*Assumptions!$B$32)</f>
        <v>0.4506988447805955</v>
      </c>
      <c r="K14" s="21">
        <f>1/(1+Assumptions!$B$26)^(10-0.5*Assumptions!$B$32)</f>
        <v>0.4103620617335371</v>
      </c>
    </row>
    <row r="15" spans="1:11" x14ac:dyDescent="0.25">
      <c r="A15" s="19" t="s">
        <v>58</v>
      </c>
      <c r="B15" s="20">
        <f>B13*B14</f>
        <v>6949107667.868879</v>
      </c>
      <c r="C15" s="20">
        <f>C13*C14</f>
        <v>6887638357.83864</v>
      </c>
      <c r="D15" s="20">
        <f>D13*D14</f>
        <v>6739538126.273066</v>
      </c>
      <c r="E15" s="20">
        <f>E13*E14</f>
        <v>6544067246.043916</v>
      </c>
      <c r="F15" s="20">
        <f>F13*F14</f>
        <v>6305183841.8775425</v>
      </c>
      <c r="G15" s="20">
        <f>G13*G14</f>
        <v>6027737324.202573</v>
      </c>
      <c r="H15" s="20">
        <f>H13*H14</f>
        <v>5717303439.748313</v>
      </c>
      <c r="I15" s="20">
        <f>I13*I14</f>
        <v>5379995673.647531</v>
      </c>
      <c r="J15" s="20">
        <f>J13*J14</f>
        <v>5022262012.101236</v>
      </c>
      <c r="K15" s="20">
        <f>K13*K14</f>
        <v>4650676645.714744</v>
      </c>
    </row>
    <row r="17" spans="1:2" x14ac:dyDescent="0.25">
      <c r="A17" s="22" t="s">
        <v>59</v>
      </c>
      <c r="B17" s="23">
        <f>SUM(B15:K15)</f>
        <v>60223510335.31644</v>
      </c>
    </row>
    <row r="19" spans="1:11" x14ac:dyDescent="0.25">
      <c r="A19" t="s">
        <v>7</v>
      </c>
      <c r="B19" s="9">
        <f>Assumptions!$B$10+($B$20-Assumptions!$B$10)*0/9</f>
        <v>0.041953292652695644</v>
      </c>
      <c r="C19" s="9">
        <f>Assumptions!$B$10+($B$20-Assumptions!$B$10)*1/9</f>
        <v>0.04465434732093491</v>
      </c>
      <c r="D19" s="9">
        <f>Assumptions!$B$10+($B$20-Assumptions!$B$10)*2/9</f>
        <v>0.047355401989174165</v>
      </c>
      <c r="E19" s="9">
        <f>Assumptions!$B$10+($B$20-Assumptions!$B$10)*3/9</f>
        <v>0.05005645665741343</v>
      </c>
      <c r="F19" s="9">
        <f>Assumptions!$B$10+($B$20-Assumptions!$B$10)*4/9</f>
        <v>0.05275751132565269</v>
      </c>
      <c r="G19" s="9">
        <f>Assumptions!$B$10+($B$20-Assumptions!$B$10)*5/9</f>
        <v>0.055458565993891956</v>
      </c>
      <c r="H19" s="9">
        <f>Assumptions!$B$10+($B$20-Assumptions!$B$10)*6/9</f>
        <v>0.05815962066213121</v>
      </c>
      <c r="I19" s="9">
        <f>Assumptions!$B$10+($B$20-Assumptions!$B$10)*7/9</f>
        <v>0.06086067533037047</v>
      </c>
      <c r="J19" s="9">
        <f>Assumptions!$B$10+($B$20-Assumptions!$B$10)*8/9</f>
        <v>0.06356172999860973</v>
      </c>
      <c r="K19" s="9">
        <f>Assumptions!$B$10+($B$20-Assumptions!$B$10)*9/9</f>
        <v>0.066262784666849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0.066262784666849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11333105760.479864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12501673901.655064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0.08585650852218765</v>
      </c>
    </row>
    <row r="7" spans="1:2" x14ac:dyDescent="0.25">
      <c r="A7" t="s">
        <v>66</v>
      </c>
      <c r="B7" s="18">
        <f>-MAX(B5,0)*B6</f>
        <v>-1073350071.879059</v>
      </c>
    </row>
    <row r="8" spans="1:2" x14ac:dyDescent="0.25">
      <c r="A8" t="s">
        <v>67</v>
      </c>
      <c r="B8" s="18">
        <f>IF(OR(Assumptions!$B$33=0,Assumptions!B12&lt;=0),B5,MAX(B5+B7,0))</f>
        <v>11428323829.776005</v>
      </c>
    </row>
    <row r="9" spans="1:2" x14ac:dyDescent="0.25">
      <c r="A9" t="s">
        <v>68</v>
      </c>
      <c r="B9" s="18">
        <f>B8*(1+Assumptions!B12)/(Assumptions!B26-Assumptions!B12)</f>
        <v>159819043918.73755</v>
      </c>
    </row>
    <row r="10" spans="1:2" x14ac:dyDescent="0.25">
      <c r="A10" t="s">
        <v>69</v>
      </c>
      <c r="B10" s="18">
        <f>B9/(1+Assumptions!B26)^(10-0.5*Assumptions!B32)</f>
        <v>65583672366.775856</v>
      </c>
    </row>
    <row r="11" spans="1:2" x14ac:dyDescent="0.25">
      <c r="A11" t="s">
        <v>70</v>
      </c>
      <c r="B11" s="18">
        <f>Forecast!B17+B10</f>
        <v>125807182702.09229</v>
      </c>
    </row>
    <row r="12" spans="1:2" x14ac:dyDescent="0.25">
      <c r="A12" t="s">
        <v>71</v>
      </c>
      <c r="B12" s="18">
        <f>-Assumptions!B30</f>
        <v>-53000000</v>
      </c>
    </row>
    <row r="13" spans="1:2" x14ac:dyDescent="0.25">
      <c r="A13" t="s">
        <v>72</v>
      </c>
      <c r="B13" s="18">
        <f>B11+B12</f>
        <v>125754182702.09229</v>
      </c>
    </row>
    <row r="14" spans="1:2" x14ac:dyDescent="0.25">
      <c r="A14" s="19" t="s">
        <v>73</v>
      </c>
      <c r="B14" s="24">
        <f>B13/Assumptions!B31</f>
        <v>294.5062826746892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17474150231.50672</v>
      </c>
    </row>
    <row r="18" spans="1:2" x14ac:dyDescent="0.25">
      <c r="A18" t="s">
        <v>68</v>
      </c>
      <c r="B18" s="18">
        <f>B17*Assumptions!B13</f>
        <v>179668034683.37524</v>
      </c>
    </row>
    <row r="19" spans="1:2" x14ac:dyDescent="0.25">
      <c r="A19" t="s">
        <v>69</v>
      </c>
      <c r="B19" s="18">
        <f>B18/(1+Assumptions!B26)^(10-0.5*Assumptions!B32)</f>
        <v>73728945140.28252</v>
      </c>
    </row>
    <row r="20" spans="1:2" x14ac:dyDescent="0.25">
      <c r="A20" t="s">
        <v>70</v>
      </c>
      <c r="B20" s="18">
        <f>Forecast!B17+B19</f>
        <v>133952455475.59895</v>
      </c>
    </row>
    <row r="21" spans="1:2" x14ac:dyDescent="0.25">
      <c r="A21" t="s">
        <v>71</v>
      </c>
      <c r="B21" s="18">
        <f>-Assumptions!B30</f>
        <v>-53000000</v>
      </c>
    </row>
    <row r="22" spans="1:2" x14ac:dyDescent="0.25">
      <c r="A22" t="s">
        <v>72</v>
      </c>
      <c r="B22" s="18">
        <f>B20+B21</f>
        <v>133899455475.59895</v>
      </c>
    </row>
    <row r="23" spans="1:2" x14ac:dyDescent="0.25">
      <c r="A23" s="19" t="s">
        <v>73</v>
      </c>
      <c r="B23" s="25">
        <f>B22/Assumptions!B31</f>
        <v>313.5818629405128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251.47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294.5062826746892</v>
      </c>
    </row>
    <row r="29" spans="1:2" x14ac:dyDescent="0.25">
      <c r="A29" s="19" t="s">
        <v>81</v>
      </c>
      <c r="B29" s="11">
        <f>B28/B26-1</f>
        <v>0.17113883435276267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0.078296</v>
      </c>
      <c r="B5" s="31">
        <v>373.98831167221215</v>
      </c>
      <c r="C5" s="31">
        <v>388.1591853569003</v>
      </c>
      <c r="D5" s="31">
        <v>405.1976098159339</v>
      </c>
      <c r="E5" s="31">
        <v>425.9942025251948</v>
      </c>
      <c r="F5" s="31">
        <v>451.8509896245899</v>
      </c>
    </row>
    <row r="6" spans="1:6" x14ac:dyDescent="0.25">
      <c r="A6" s="30">
        <v>0.088296</v>
      </c>
      <c r="B6" s="31">
        <v>321.7633111945978</v>
      </c>
      <c r="C6" s="31">
        <v>330.637734152146</v>
      </c>
      <c r="D6" s="31">
        <v>341.08034193258845</v>
      </c>
      <c r="E6" s="31">
        <v>353.49464030550484</v>
      </c>
      <c r="F6" s="31">
        <v>368.43555569852793</v>
      </c>
    </row>
    <row r="7" spans="1:6" x14ac:dyDescent="0.25">
      <c r="A7" s="30">
        <v>0.098296</v>
      </c>
      <c r="B7" s="31">
        <v>282.1778930221706</v>
      </c>
      <c r="C7" s="31">
        <v>287.88412392851535</v>
      </c>
      <c r="D7" s="32">
        <v>294.504654830525</v>
      </c>
      <c r="E7" s="31">
        <v>302.24029543791875</v>
      </c>
      <c r="F7" s="31">
        <v>311.3553064556504</v>
      </c>
    </row>
    <row r="8" spans="1:6" x14ac:dyDescent="0.25">
      <c r="A8" s="30">
        <v>0.108296</v>
      </c>
      <c r="B8" s="31">
        <v>251.16144503671086</v>
      </c>
      <c r="C8" s="31">
        <v>254.8762245126197</v>
      </c>
      <c r="D8" s="31">
        <v>259.1501501677728</v>
      </c>
      <c r="E8" s="31">
        <v>264.0903436008299</v>
      </c>
      <c r="F8" s="31">
        <v>269.8331562725605</v>
      </c>
    </row>
    <row r="9" spans="1:6" x14ac:dyDescent="0.25">
      <c r="A9" s="30">
        <v>0.118296</v>
      </c>
      <c r="B9" s="31">
        <v>226.2201073788725</v>
      </c>
      <c r="C9" s="31">
        <v>228.63590554065428</v>
      </c>
      <c r="D9" s="31">
        <v>231.40642904179043</v>
      </c>
      <c r="E9" s="31">
        <v>234.59193972982015</v>
      </c>
      <c r="F9" s="31">
        <v>238.26716877794996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23769000000</v>
      </c>
      <c r="C5" s="18">
        <v>21505000000</v>
      </c>
      <c r="D5" s="18">
        <v>19409000000</v>
      </c>
      <c r="E5" s="18">
        <v>17606000000</v>
      </c>
      <c r="F5" s="6" t="s">
        <v>91</v>
      </c>
    </row>
    <row r="6" spans="1:6" x14ac:dyDescent="0.25">
      <c r="A6" t="s">
        <v>51</v>
      </c>
      <c r="B6" s="18">
        <v>8706000000</v>
      </c>
      <c r="C6" s="18">
        <v>7741000000</v>
      </c>
      <c r="D6" s="18">
        <v>6650000000</v>
      </c>
      <c r="E6" s="18">
        <v>6098000000</v>
      </c>
      <c r="F6" s="6" t="s">
        <v>92</v>
      </c>
    </row>
    <row r="7" spans="1:6" x14ac:dyDescent="0.25">
      <c r="A7" t="s">
        <v>93</v>
      </c>
      <c r="B7" s="18">
        <v>818000000</v>
      </c>
      <c r="C7" s="18">
        <v>857000000</v>
      </c>
      <c r="D7" s="18">
        <v>872000000</v>
      </c>
      <c r="E7" s="18">
        <v>856000000</v>
      </c>
      <c r="F7" s="6" t="s">
        <v>94</v>
      </c>
    </row>
    <row r="8" spans="1:6" x14ac:dyDescent="0.25">
      <c r="A8" t="s">
        <v>95</v>
      </c>
      <c r="B8" s="18">
        <v>179000000</v>
      </c>
      <c r="C8" s="18">
        <v>183000000</v>
      </c>
      <c r="D8" s="18">
        <v>360000000</v>
      </c>
      <c r="E8" s="18">
        <v>442000000</v>
      </c>
      <c r="F8" s="6" t="s">
        <v>96</v>
      </c>
    </row>
    <row r="9" spans="1:6" x14ac:dyDescent="0.25">
      <c r="A9" t="s">
        <v>97</v>
      </c>
      <c r="B9" s="18">
        <v>-605000000</v>
      </c>
      <c r="C9" s="18">
        <v>-144000000</v>
      </c>
      <c r="D9" s="18">
        <v>355000000</v>
      </c>
      <c r="E9" s="18">
        <v>-336000000</v>
      </c>
      <c r="F9" s="6" t="s">
        <v>98</v>
      </c>
    </row>
    <row r="10" spans="1:6" x14ac:dyDescent="0.25">
      <c r="A10" t="s">
        <v>99</v>
      </c>
      <c r="B10" s="18">
        <v>6648000000</v>
      </c>
      <c r="C10" s="18">
        <v>6056000000</v>
      </c>
      <c r="D10" s="18">
        <v>4080000000</v>
      </c>
      <c r="E10" s="18">
        <v>4633000000</v>
      </c>
      <c r="F10" s="6" t="s">
        <v>100</v>
      </c>
    </row>
    <row r="11" spans="1:6" x14ac:dyDescent="0.25">
      <c r="A11" t="s">
        <v>101</v>
      </c>
      <c r="B11" s="18">
        <v>6595000000</v>
      </c>
      <c r="C11" s="18">
        <v>7886000000</v>
      </c>
      <c r="D11" s="18">
        <v>7842000000</v>
      </c>
      <c r="E11" s="18">
        <v>6096000000</v>
      </c>
      <c r="F11" s="6" t="s">
        <v>102</v>
      </c>
    </row>
    <row r="12" spans="1:6" x14ac:dyDescent="0.25">
      <c r="A12" t="s">
        <v>34</v>
      </c>
      <c r="B12" s="34">
        <v>427000000</v>
      </c>
      <c r="C12" s="34">
        <v>450000000</v>
      </c>
      <c r="D12" s="34">
        <v>459000000</v>
      </c>
      <c r="E12" s="34">
        <v>471000000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