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<sst xmlns="http://schemas.openxmlformats.org/spreadsheetml/2006/main" count="114" uniqueCount="102">
  <si>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Addtech AB (publ.) (ADDT-B.ST)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</si>
  <si>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</si>
  <si>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</si>
  <si>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</si>
  <si>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</si>
  <si>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</si>
  <si>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</si>
  <si>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</si>
  <si>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</si>
  <si>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</si>
  <si>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</si>
  <si>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</si>
  <si>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</si>
  <si>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</si>
  <si>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</si>
  <si>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</si>
  <si>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</si>
  <si>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</si>
  <si>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</si>
  <si>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</si>
  <si>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</si>
  <si>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</si>
  <si>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</si>
  <si>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</si>
  <si>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</si>
  <si>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</si>
  <si>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</si>
  <si>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</si>
  <si>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</si>
  <si>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</si>
  <si>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2026-03-31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</si>
  <si>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</si>
  <si>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</si>
  <si>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</si>
  <si>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</si>
  <si>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</si>
  <si>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</si>
  <si>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</si>
  <si>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</si>
  <si>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</si>
  <si>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</si>
  <si>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</si>
  <si>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</si>
  <si>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</si>
  <si>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</si>
  <si>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</si>
  <si>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</si>
  <si>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</si>
  <si>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</si>
  <si>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</si>
  <si>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</si>
  <si>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</si>
  <si>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</si>
  <si>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</si>
  <si>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</si>
  <si>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</si>
  <si>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</si>
  <si>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</si>
  <si>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</si>
  <si>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</si>
  <si>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</si>
  <si>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</si>
  <si>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</si>
  <si>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</si>
  <si>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</si>
  <si>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</si>
  <si>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</si>
  <si>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</si>
  <si>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</si>
  <si>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</si>
  <si>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</si>
  <si>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</si>
  <si>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</si>
  <si>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</si>
  <si>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</si>
  <si>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</si>
  <si>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</si>
  <si>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</si>
  <si>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</si>
  <si>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</si>
  <si>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</si>
  <si>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</si>
  <si>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</si>
  <si>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</si>
  <si>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</si>
  <si>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</si>
  <si>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</si>
  <si>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</si>
  <si>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</si>
  <si>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</si>
  <si>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</si>
  <si>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</si>
  <si>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</si>
  <si>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</si>
  <si>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</si>
  <si>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</si>
  <si>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</si>
  <si>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</si>
  <si>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0.97% of revenue, which is too low to be the company's real investment - property trusts and similar structures invest through lines that are not reported as capex. Capex has been set to 1.92% of revenue so the forecast is not handed free growth. Override it if the reported figure is right.</t>
  </si>
  <si>
    <t>Note: Risk-free rate is an assumption: USD assumption - no free live source available for this market.</t>
  </si>
  <si>
    <t>Current EV/EBITDA of 23.4x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</si>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</sst>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0.06652786825935908</v>
      </c>
    </row>
    <row r="7" spans="1:2" x14ac:dyDescent="0.25">
      <c r="A7" t="s">
        <v>5</v>
      </c>
      <c r="B7" s="6">
        <v>0.12371090259607556</v>
      </c>
    </row>
    <row r="8" spans="1:2" x14ac:dyDescent="0.25">
      <c r="A8" t="s">
        <v>6</v>
      </c>
      <c r="B8" s="6">
        <v>0.22700307545473836</v>
      </c>
    </row>
    <row r="9" spans="1:2" x14ac:dyDescent="0.25">
      <c r="A9" t="s">
        <v>7</v>
      </c>
      <c r="B9" s="6">
        <v>0.041547248145343864</v>
      </c>
    </row>
    <row r="10" spans="1:2" x14ac:dyDescent="0.25">
      <c r="A10" t="s">
        <v>8</v>
      </c>
      <c r="B10" s="6">
        <v>0.019195200426959144</v>
      </c>
    </row>
    <row r="11" spans="1:2" x14ac:dyDescent="0.25">
      <c r="A11" t="s">
        <v>9</v>
      </c>
      <c r="B11" s="6">
        <v>0.03601575689364097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0.17761666536910026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1.08576</v>
      </c>
      <c r="C19" s="8" t="s">
        <v>19</v>
      </c>
    </row>
    <row r="20" spans="1:2" x14ac:dyDescent="0.25">
      <c r="A20" t="s">
        <v>20</v>
      </c>
      <c r="B20" s="10">
        <f>B17+B19*B18</f>
        <v>0.11257440000000002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88331059200</v>
      </c>
    </row>
    <row r="23" spans="1:2" x14ac:dyDescent="0.25">
      <c r="A23" t="s">
        <v>24</v>
      </c>
      <c r="B23" s="11">
        <v>7148000000</v>
      </c>
    </row>
    <row r="24" spans="1:2" x14ac:dyDescent="0.25">
      <c r="A24" t="s">
        <v>25</v>
      </c>
      <c r="B24" s="10">
        <f>B22/(B22+B23)</f>
        <v>0.9251354164997889</v>
      </c>
    </row>
    <row r="25" spans="1:2" x14ac:dyDescent="0.25">
      <c r="A25" t="s">
        <v>26</v>
      </c>
      <c r="B25" s="10">
        <f>1-B24</f>
        <v>0.07486458350021108</v>
      </c>
    </row>
    <row r="26" spans="1:2" x14ac:dyDescent="0.25">
      <c r="A26" t="s">
        <v>27</v>
      </c>
      <c r="B26" s="12">
        <f>B24*B20+B25*B21*(1-B8)</f>
        <v>0.1065771083289409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22703000000</v>
      </c>
      <c r="C29" s="8" t="s">
        <v>30</v>
      </c>
    </row>
    <row r="30" spans="1:2" x14ac:dyDescent="0.25">
      <c r="A30" t="s">
        <v>31</v>
      </c>
      <c r="B30" s="11">
        <v>5658000000</v>
      </c>
    </row>
    <row r="31" spans="1:2" x14ac:dyDescent="0.25">
      <c r="A31" t="s">
        <v>32</v>
      </c>
      <c r="B31" s="13">
        <v>270195000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0.06652786825935908</v>
      </c>
      <c r="C5" s="10">
        <f>Assumptions!B6</f>
        <v>0.06652786825935908</v>
      </c>
      <c r="D5" s="10">
        <f>Assumptions!B6</f>
        <v>0.06652786825935908</v>
      </c>
      <c r="E5" s="10">
        <f>Assumptions!B6</f>
        <v>0.06652786825935908</v>
      </c>
      <c r="F5" s="10">
        <f>Assumptions!B6</f>
        <v>0.06652786825935908</v>
      </c>
    </row>
    <row r="6" spans="1:6" x14ac:dyDescent="0.25">
      <c r="A6" t="s">
        <v>43</v>
      </c>
      <c r="B6" s="18">
        <f>Assumptions!B29*(1+B5)</f>
        <v>24213382193.092228</v>
      </c>
      <c r="C6" s="18">
        <f>B6*(1+C5)</f>
        <v>25824246893.74778</v>
      </c>
      <c r="D6" s="18">
        <f>C6*(1+D5)</f>
        <v>27542278988.992195</v>
      </c>
      <c r="E6" s="18">
        <f>D6*(1+E5)</f>
        <v>29374608097.13438</v>
      </c>
      <c r="F6" s="18">
        <f>E6*(1+F5)</f>
        <v>31328838154.79084</v>
      </c>
    </row>
    <row r="7" spans="1:6" x14ac:dyDescent="0.25">
      <c r="A7" t="s">
        <v>5</v>
      </c>
      <c r="B7" s="10">
        <f>Assumptions!B7</f>
        <v>0.12371090259607556</v>
      </c>
      <c r="C7" s="10">
        <f>Assumptions!B7</f>
        <v>0.12371090259607556</v>
      </c>
      <c r="D7" s="10">
        <f>Assumptions!B7</f>
        <v>0.12371090259607556</v>
      </c>
      <c r="E7" s="10">
        <f>Assumptions!B7</f>
        <v>0.12371090259607556</v>
      </c>
      <c r="F7" s="10">
        <f>Assumptions!B7</f>
        <v>0.12371090259607556</v>
      </c>
    </row>
    <row r="8" spans="1:6" x14ac:dyDescent="0.25">
      <c r="A8" t="s">
        <v>44</v>
      </c>
      <c r="B8" s="18">
        <f>B6*B7</f>
        <v>2995459366.0111833</v>
      </c>
      <c r="C8" s="18">
        <f>C6*C7</f>
        <v>3194740892.0894384</v>
      </c>
      <c r="D8" s="18">
        <f>D6*D7</f>
        <v>3407280193.281152</v>
      </c>
      <c r="E8" s="18">
        <f>E6*E7</f>
        <v>3633959281.1024837</v>
      </c>
      <c r="F8" s="18">
        <f>F6*F7</f>
        <v>3875718845.4155455</v>
      </c>
    </row>
    <row r="9" spans="1:6" x14ac:dyDescent="0.25">
      <c r="A9" t="s">
        <v>45</v>
      </c>
      <c r="B9" s="18">
        <f>B8*(1-Assumptions!B8)</f>
        <v>2315480877.526944</v>
      </c>
      <c r="C9" s="18">
        <f>C8*(1-Assumptions!B8)</f>
        <v>2469524884.3041215</v>
      </c>
      <c r="D9" s="18">
        <f>D8*(1-Assumptions!B8)</f>
        <v>2633817110.470315</v>
      </c>
      <c r="E9" s="18">
        <f>E8*(1-Assumptions!B8)</f>
        <v>2809039348.21493</v>
      </c>
      <c r="F9" s="18">
        <f>F8*(1-Assumptions!B8)</f>
        <v>2995918747.908329</v>
      </c>
    </row>
    <row r="10" spans="1:6" x14ac:dyDescent="0.25">
      <c r="A10" t="s">
        <v>46</v>
      </c>
      <c r="B10" s="18">
        <f>B6*Assumptions!B9</f>
        <v>1005999398.4144531</v>
      </c>
      <c r="C10" s="18">
        <f>C6*Assumptions!B9</f>
        <v>1072926393.8611645</v>
      </c>
      <c r="D10" s="18">
        <f>D6*Assumptions!B9</f>
        <v>1144305899.6439493</v>
      </c>
      <c r="E10" s="18">
        <f>E6*Assumptions!B9</f>
        <v>1220434131.7838693</v>
      </c>
      <c r="F10" s="18">
        <f>F6*Assumptions!B9</f>
        <v>1301627012.922412</v>
      </c>
    </row>
    <row r="11" spans="1:6" x14ac:dyDescent="0.25">
      <c r="A11" t="s">
        <v>47</v>
      </c>
      <c r="B11" s="18">
        <f>-B6*Assumptions!B10</f>
        <v>-464780724.21096885</v>
      </c>
      <c r="C11" s="18">
        <f>-C6*Assumptions!B10</f>
        <v>-495701595.00076574</v>
      </c>
      <c r="D11" s="18">
        <f>-D6*Assumptions!B10</f>
        <v>-528679565.40893084</v>
      </c>
      <c r="E11" s="18">
        <f>-E6*Assumptions!B10</f>
        <v>-563851489.8878714</v>
      </c>
      <c r="F11" s="18">
        <f>-F6*Assumptions!B10</f>
        <v>-601363327.5249751</v>
      </c>
    </row>
    <row r="12" spans="1:6" x14ac:dyDescent="0.25">
      <c r="A12" t="s">
        <v>48</v>
      </c>
      <c r="B12" s="18">
        <f>-(B6-Assumptions!B29)*Assumptions!B11</f>
        <v>-54397557.88289397</v>
      </c>
      <c r="C12" s="18">
        <f>-(C6-B6)*Assumptions!B11</f>
        <v>-58016511.447358094</v>
      </c>
      <c r="D12" s="18">
        <f>-(D6-C6)*Assumptions!B11</f>
        <v>-61876226.277795486</v>
      </c>
      <c r="E12" s="18">
        <f>-(E6-D6)*Assumptions!B11</f>
        <v>-65992719.707990915</v>
      </c>
      <c r="F12" s="18">
        <f>-(F6-E6)*Assumptions!B11</f>
        <v>-70383074.67080103</v>
      </c>
    </row>
    <row r="13" spans="1:6" x14ac:dyDescent="0.25">
      <c r="A13" s="19" t="s">
        <v>49</v>
      </c>
      <c r="B13" s="20">
        <f>B9+B10+B11+B12</f>
        <v>2802301993.847534</v>
      </c>
      <c r="C13" s="20">
        <f>C9+C10+C11+C12</f>
        <v>2988733171.717162</v>
      </c>
      <c r="D13" s="20">
        <f>D9+D10+D11+D12</f>
        <v>3187567218.4275384</v>
      </c>
      <c r="E13" s="20">
        <f>E9+E10+E11+E12</f>
        <v>3399629270.402937</v>
      </c>
      <c r="F13" s="20">
        <f>F9+F10+F11+F12</f>
        <v>3625799358.634965</v>
      </c>
    </row>
    <row r="14" spans="1:6" x14ac:dyDescent="0.25">
      <c r="A14" t="s">
        <v>50</v>
      </c>
      <c r="B14" s="21">
        <f>1/(1+Assumptions!$B$26)^(1-0.5*Assumptions!$B$32)</f>
        <v>0.9506248417971731</v>
      </c>
      <c r="C14" s="21">
        <f>1/(1+Assumptions!$B$26)^(2-0.5*Assumptions!$B$32)</f>
        <v>0.8590678721275251</v>
      </c>
      <c r="D14" s="21">
        <f>1/(1+Assumptions!$B$26)^(3-0.5*Assumptions!$B$32)</f>
        <v>0.776328974873533</v>
      </c>
      <c r="E14" s="21">
        <f>1/(1+Assumptions!$B$26)^(4-0.5*Assumptions!$B$32)</f>
        <v>0.7015588602278962</v>
      </c>
      <c r="F14" s="21">
        <f>1/(1+Assumptions!$B$26)^(5-0.5*Assumptions!$B$32)</f>
        <v>0.6339900355315782</v>
      </c>
    </row>
    <row r="15" spans="1:6" x14ac:dyDescent="0.25">
      <c r="A15" s="19" t="s">
        <v>51</v>
      </c>
      <c r="B15" s="20">
        <f>B13*B14</f>
        <v>2663937889.569215</v>
      </c>
      <c r="C15" s="20">
        <f>C13*C14</f>
        <v>2567524646.1840115</v>
      </c>
      <c r="D15" s="20">
        <f>D13*D14</f>
        <v>2474600791.02233</v>
      </c>
      <c r="E15" s="20">
        <f>E13*E14</f>
        <v>2385040036.1412787</v>
      </c>
      <c r="F15" s="20">
        <f>F13*F14</f>
        <v>2298720664.2113547</v>
      </c>
    </row>
    <row r="17" spans="1:2" x14ac:dyDescent="0.25">
      <c r="A17" s="22" t="s">
        <v>52</v>
      </c>
      <c r="B17" s="23">
        <f>SUM(B15:F15)</f>
        <v>12389824027.128191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3625799358.634965</v>
      </c>
    </row>
    <row r="5" spans="1:2" x14ac:dyDescent="0.25">
      <c r="A5" t="s">
        <v>56</v>
      </c>
      <c r="B5" s="18">
        <f>IF(Assumptions!$B$33=0,B4,B4-Forecast!F11-Forecast!F10-Forecast!F12)</f>
        <v>3537220423.0912786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0.1407525580330438</v>
      </c>
    </row>
    <row r="7" spans="1:2" x14ac:dyDescent="0.25">
      <c r="A7" t="s">
        <v>58</v>
      </c>
      <c r="B7" s="18">
        <f>-MAX(Forecast!F9,0)*B6</f>
        <v>-497872822.8768229</v>
      </c>
    </row>
    <row r="8" spans="1:2" x14ac:dyDescent="0.25">
      <c r="A8" t="s">
        <v>59</v>
      </c>
      <c r="B8" s="18">
        <f>IF(OR(Assumptions!$B$33=0,Assumptions!B12&lt;=0),B5,MAX(B5+B7,0))</f>
        <v>3039347600.2144556</v>
      </c>
    </row>
    <row r="9" spans="1:2" x14ac:dyDescent="0.25">
      <c r="A9" t="s">
        <v>60</v>
      </c>
      <c r="B9" s="18">
        <f>B8*(1+Assumptions!B12)/(Assumptions!B26-Assumptions!B12)</f>
        <v>38188792837.05375</v>
      </c>
    </row>
    <row r="10" spans="1:2" x14ac:dyDescent="0.25">
      <c r="A10" t="s">
        <v>61</v>
      </c>
      <c r="B10" s="18">
        <f>B9/(1+Assumptions!B26)^(5-0.5*Assumptions!B32)</f>
        <v>24211314127.671783</v>
      </c>
    </row>
    <row r="11" spans="1:2" x14ac:dyDescent="0.25">
      <c r="A11" t="s">
        <v>62</v>
      </c>
      <c r="B11" s="18">
        <f>Forecast!B17+B10</f>
        <v>36601138154.79997</v>
      </c>
    </row>
    <row r="12" spans="1:2" x14ac:dyDescent="0.25">
      <c r="A12" t="s">
        <v>63</v>
      </c>
      <c r="B12" s="18">
        <f>-Assumptions!B30</f>
        <v>-5658000000</v>
      </c>
    </row>
    <row r="13" spans="1:2" x14ac:dyDescent="0.25">
      <c r="A13" t="s">
        <v>64</v>
      </c>
      <c r="B13" s="18">
        <f>B11+B12</f>
        <v>30943138154.799973</v>
      </c>
    </row>
    <row r="14" spans="1:2" x14ac:dyDescent="0.25">
      <c r="A14" s="19" t="s">
        <v>65</v>
      </c>
      <c r="B14" s="24">
        <f>B13/Assumptions!B31</f>
        <v>114.52150541201715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5177345858.337957</v>
      </c>
    </row>
    <row r="18" spans="1:2" x14ac:dyDescent="0.25">
      <c r="A18" t="s">
        <v>60</v>
      </c>
      <c r="B18" s="18">
        <f>B17*Assumptions!B13</f>
        <v>103546917166.75916</v>
      </c>
    </row>
    <row r="19" spans="1:2" x14ac:dyDescent="0.25">
      <c r="A19" t="s">
        <v>61</v>
      </c>
      <c r="B19" s="18">
        <f>B18/(1+Assumptions!B26)^(5-0.5*Assumptions!B32)</f>
        <v>65647713693.73902</v>
      </c>
    </row>
    <row r="20" spans="1:2" x14ac:dyDescent="0.25">
      <c r="A20" t="s">
        <v>62</v>
      </c>
      <c r="B20" s="18">
        <f>Forecast!B17+B19</f>
        <v>78037537720.86722</v>
      </c>
    </row>
    <row r="21" spans="1:2" x14ac:dyDescent="0.25">
      <c r="A21" t="s">
        <v>63</v>
      </c>
      <c r="B21" s="18">
        <f>-Assumptions!B30</f>
        <v>-5658000000</v>
      </c>
    </row>
    <row r="22" spans="1:2" x14ac:dyDescent="0.25">
      <c r="A22" t="s">
        <v>64</v>
      </c>
      <c r="B22" s="18">
        <f>B20+B21</f>
        <v>72379537720.86722</v>
      </c>
    </row>
    <row r="23" spans="1:2" x14ac:dyDescent="0.25">
      <c r="A23" s="19" t="s">
        <v>65</v>
      </c>
      <c r="B23" s="25">
        <f>B22/Assumptions!B31</f>
        <v>267.8788938391429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327.2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114.52150541201715</v>
      </c>
    </row>
    <row r="29" spans="1:2" x14ac:dyDescent="0.25">
      <c r="A29" s="19" t="s">
        <v>73</v>
      </c>
      <c r="B29" s="12">
        <f>B28/B26-1</f>
        <v>-0.649995399107527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0.086577</v>
      </c>
      <c r="B5" s="31">
        <v>143.97867323283566</v>
      </c>
      <c r="C5" s="31">
        <v>149.4972281568464</v>
      </c>
      <c r="D5" s="31">
        <v>155.8707980986187</v>
      </c>
      <c r="E5" s="31">
        <v>163.32606926043323</v>
      </c>
      <c r="F5" s="31">
        <v>172.17762989481776</v>
      </c>
    </row>
    <row r="6" spans="1:6" x14ac:dyDescent="0.25">
      <c r="A6" s="30">
        <v>0.096577</v>
      </c>
      <c r="B6" s="31">
        <v>124.428912209091</v>
      </c>
      <c r="C6" s="31">
        <v>128.13460592501352</v>
      </c>
      <c r="D6" s="31">
        <v>132.32401760090565</v>
      </c>
      <c r="E6" s="31">
        <v>137.10613036006157</v>
      </c>
      <c r="F6" s="31">
        <v>142.62532467325678</v>
      </c>
    </row>
    <row r="7" spans="1:6" x14ac:dyDescent="0.25">
      <c r="A7" s="30">
        <v>0.106577</v>
      </c>
      <c r="B7" s="31">
        <v>109.13725275210139</v>
      </c>
      <c r="C7" s="31">
        <v>111.68747642658775</v>
      </c>
      <c r="D7" s="32">
        <v>114.52167477033832</v>
      </c>
      <c r="E7" s="31">
        <v>117.69547310216898</v>
      </c>
      <c r="F7" s="31">
        <v>121.2800395322435</v>
      </c>
    </row>
    <row r="8" spans="1:6" x14ac:dyDescent="0.25">
      <c r="A8" s="30">
        <v>0.116577</v>
      </c>
      <c r="B8" s="31">
        <v>96.84675476808918</v>
      </c>
      <c r="C8" s="31">
        <v>98.6299765854374</v>
      </c>
      <c r="D8" s="31">
        <v>100.58342106363818</v>
      </c>
      <c r="E8" s="31">
        <v>102.73658033007864</v>
      </c>
      <c r="F8" s="31">
        <v>105.1261770127494</v>
      </c>
    </row>
    <row r="9" spans="1:6" x14ac:dyDescent="0.25">
      <c r="A9" s="30">
        <v>0.126577</v>
      </c>
      <c r="B9" s="31">
        <v>86.75104334870954</v>
      </c>
      <c r="C9" s="31">
        <v>88.00885675652809</v>
      </c>
      <c r="D9" s="31">
        <v>89.36927841674266</v>
      </c>
      <c r="E9" s="31">
        <v>90.84824508226487</v>
      </c>
      <c r="F9" s="31">
        <v>92.46517402030821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22703000000</v>
      </c>
      <c r="C5" s="18">
        <v>21796000000</v>
      </c>
      <c r="D5" s="18">
        <v>20019000000</v>
      </c>
      <c r="E5" s="18">
        <v>18714000000</v>
      </c>
      <c r="F5" s="8" t="s">
        <v>84</v>
      </c>
    </row>
    <row r="6" spans="1:6" x14ac:dyDescent="0.25">
      <c r="A6" t="s">
        <v>44</v>
      </c>
      <c r="B6" s="18">
        <v>3009000000</v>
      </c>
      <c r="C6" s="18">
        <v>2740000000</v>
      </c>
      <c r="D6" s="18">
        <v>2460000000</v>
      </c>
      <c r="E6" s="18">
        <v>2128000000</v>
      </c>
      <c r="F6" s="8" t="s">
        <v>85</v>
      </c>
    </row>
    <row r="7" spans="1:6" x14ac:dyDescent="0.25">
      <c r="A7" t="s">
        <v>86</v>
      </c>
      <c r="B7" s="18">
        <v>1015000000</v>
      </c>
      <c r="C7" s="18">
        <v>935000000</v>
      </c>
      <c r="D7" s="18">
        <v>819000000</v>
      </c>
      <c r="E7" s="18">
        <v>705000000</v>
      </c>
      <c r="F7" s="8" t="s">
        <v>87</v>
      </c>
    </row>
    <row r="8" spans="1:6" x14ac:dyDescent="0.25">
      <c r="A8" t="s">
        <v>88</v>
      </c>
      <c r="B8" s="18">
        <v>184000000</v>
      </c>
      <c r="C8" s="18">
        <v>233000000</v>
      </c>
      <c r="D8" s="18">
        <v>189000000</v>
      </c>
      <c r="E8" s="18">
        <v>197000000</v>
      </c>
      <c r="F8" s="8" t="s">
        <v>89</v>
      </c>
    </row>
    <row r="9" spans="1:6" x14ac:dyDescent="0.25">
      <c r="A9" t="s">
        <v>90</v>
      </c>
      <c r="B9" s="18">
        <v>112000000</v>
      </c>
      <c r="C9" s="18">
        <v>64000000</v>
      </c>
      <c r="D9" s="18">
        <v>-72000000</v>
      </c>
      <c r="E9" s="18">
        <v>327000000</v>
      </c>
      <c r="F9" s="8" t="s">
        <v>91</v>
      </c>
    </row>
    <row r="10" spans="1:6" x14ac:dyDescent="0.25">
      <c r="A10" t="s">
        <v>92</v>
      </c>
      <c r="B10" s="18">
        <v>7148000000</v>
      </c>
      <c r="C10" s="18">
        <v>6186000000</v>
      </c>
      <c r="D10" s="18">
        <v>5225000000</v>
      </c>
      <c r="E10" s="18">
        <v>4713000000</v>
      </c>
      <c r="F10" s="8" t="s">
        <v>93</v>
      </c>
    </row>
    <row r="11" spans="1:6" x14ac:dyDescent="0.25">
      <c r="A11" t="s">
        <v>94</v>
      </c>
      <c r="B11" s="18">
        <v>1490000000</v>
      </c>
      <c r="C11" s="18">
        <v>1168000000</v>
      </c>
      <c r="D11" s="18">
        <v>798000000</v>
      </c>
      <c r="E11" s="18">
        <v>606000000</v>
      </c>
      <c r="F11" s="8" t="s">
        <v>95</v>
      </c>
    </row>
    <row r="12" spans="1:6" x14ac:dyDescent="0.25">
      <c r="A12" t="s">
        <v>32</v>
      </c>
      <c r="B12" s="34">
        <v>270195000</v>
      </c>
      <c r="C12" s="34">
        <v>270332000</v>
      </c>
      <c r="D12" s="34">
        <v>269761000</v>
      </c>
      <c r="E12" s="34">
        <v>269723000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2026-09-19T00:07:46Z</dcterms:modified>
</cp:coreProperties>
</file>