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<sst xmlns="http://schemas.openxmlformats.org/spreadsheetml/2006/main" count="120" uniqueCount="107">
  <si>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Analog Devices, Inc. (ADI)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</si>
  <si>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</si>
  <si>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</si>
  <si>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</si>
  <si>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</si>
  <si>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</si>
  <si>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</si>
  <si>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</si>
  <si>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</si>
  <si>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</si>
  <si>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</si>
  <si>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</si>
  <si>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</si>
  <si>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</si>
  <si>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</si>
  <si>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</si>
  <si>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</si>
  <si>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</si>
  <si>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</si>
  <si>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</si>
  <si>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</si>
  <si>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</si>
  <si>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</si>
  <si>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</si>
  <si>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9.5x interest cover. Book interest / average debt was lower, at 3.9%.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</si>
  <si>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</si>
  <si>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</si>
  <si>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</si>
  <si>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</si>
  <si>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</si>
  <si>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</si>
  <si>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</si>
  <si>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2025-10-31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</si>
  <si>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</si>
  <si>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</si>
  <si>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</si>
  <si>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</si>
  <si>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</si>
  <si>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</si>
  <si>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</si>
  <si>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</si>
  <si>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</si>
  <si>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</si>
  <si>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</si>
  <si>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</si>
  <si>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</si>
  <si>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</si>
  <si>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</si>
  <si>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</si>
  <si>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</si>
  <si>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</si>
  <si>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</si>
  <si>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</si>
  <si>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</si>
  <si>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</si>
  <si>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</si>
  <si>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</si>
  <si>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</si>
  <si>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</si>
  <si>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</si>
  <si>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</si>
  <si>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</si>
  <si>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</si>
  <si>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</si>
  <si>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</si>
  <si>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</si>
  <si>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</si>
  <si>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</si>
  <si>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</si>
  <si>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</si>
  <si>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</si>
  <si>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</si>
  <si>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</si>
  <si>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</si>
  <si>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</si>
  <si>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</si>
  <si>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</si>
  <si>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</si>
  <si>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</si>
  <si>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</si>
  <si>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</si>
  <si>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</si>
  <si>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</si>
  <si>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</si>
  <si>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</si>
  <si>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</si>
  <si>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2025-10-31</t>
  </si>
  <si>
    <t>2024-10-31</t>
  </si>
  <si>
    <t>2023-10-31</t>
  </si>
  <si>
    <t>2022-10-31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</si>
  <si>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</si>
  <si>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</si>
  <si>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</si>
  <si>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</si>
  <si>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</si>
  <si>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</si>
  <si>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</si>
  <si>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</si>
  <si>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</si>
  <si>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</si>
  <si>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</si>
  <si>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</si>
  <si>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</si>
  <si>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</si>
  <si>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</si>
  <si>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41.0x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</si>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</sst>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0.3725888837153293</v>
      </c>
    </row>
    <row r="7" spans="1:2" x14ac:dyDescent="0.25">
      <c r="A7" t="s">
        <v>4</v>
      </c>
      <c r="B7" s="5">
        <v>0.27788690085685386</v>
      </c>
    </row>
    <row r="8" spans="1:2" x14ac:dyDescent="0.25">
      <c r="A8" t="s">
        <v>5</v>
      </c>
      <c r="B8" s="5">
        <v>0.09716767524422558</v>
      </c>
    </row>
    <row r="9" spans="1:2" x14ac:dyDescent="0.25">
      <c r="A9" t="s">
        <v>6</v>
      </c>
      <c r="B9" s="5">
        <v>0.1955474612188144</v>
      </c>
    </row>
    <row r="10" spans="1:3" x14ac:dyDescent="0.25">
      <c r="A10" t="s">
        <v>7</v>
      </c>
      <c r="B10" s="5">
        <v>0.07165568645508637</v>
      </c>
      <c r="C10" s="6" t="s">
        <v>8</v>
      </c>
    </row>
    <row r="11" spans="1:2" x14ac:dyDescent="0.25">
      <c r="A11" t="s">
        <v>9</v>
      </c>
      <c r="B11" s="5">
        <v>0.22460564103133365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0.09639058412209783</v>
      </c>
      <c r="C14" s="6" t="s">
        <v>13</v>
      </c>
    </row>
    <row r="15" spans="1:3" x14ac:dyDescent="0.25">
      <c r="A15" t="s">
        <v>14</v>
      </c>
      <c r="B15" s="5">
        <v>0.03154519851549876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1.1715200000000001</v>
      </c>
      <c r="C19" s="6" t="s">
        <v>21</v>
      </c>
    </row>
    <row r="20" spans="1:2" x14ac:dyDescent="0.25">
      <c r="A20" t="s">
        <v>22</v>
      </c>
      <c r="B20" s="9">
        <f>B17+B19*B18</f>
        <v>0.09849529600000001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200052850688</v>
      </c>
    </row>
    <row r="23" spans="1:2" x14ac:dyDescent="0.25">
      <c r="A23" t="s">
        <v>26</v>
      </c>
      <c r="B23" s="10">
        <v>8664610000</v>
      </c>
    </row>
    <row r="24" spans="1:2" x14ac:dyDescent="0.25">
      <c r="A24" t="s">
        <v>27</v>
      </c>
      <c r="B24" s="9">
        <f>B22/(B22+B23)</f>
        <v>0.9584864152168263</v>
      </c>
    </row>
    <row r="25" spans="1:2" x14ac:dyDescent="0.25">
      <c r="A25" t="s">
        <v>28</v>
      </c>
      <c r="B25" s="9">
        <f>1-B24</f>
        <v>0.041513584783173685</v>
      </c>
    </row>
    <row r="26" spans="1:2" x14ac:dyDescent="0.25">
      <c r="A26" t="s">
        <v>29</v>
      </c>
      <c r="B26" s="11">
        <f>B24*B20+B25*B21*(1-B8)</f>
        <v>0.09639058412209783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11019707000</v>
      </c>
      <c r="C29" s="6" t="s">
        <v>32</v>
      </c>
    </row>
    <row r="30" spans="1:2" x14ac:dyDescent="0.25">
      <c r="A30" t="s">
        <v>33</v>
      </c>
      <c r="B30" s="10">
        <v>5012289000</v>
      </c>
    </row>
    <row r="31" spans="1:2" x14ac:dyDescent="0.25">
      <c r="A31" t="s">
        <v>34</v>
      </c>
      <c r="B31" s="12">
        <v>496709000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0.3725888837153293</v>
      </c>
      <c r="C5" s="5">
        <v>0.2159458734057902</v>
      </c>
      <c r="D5" s="5">
        <v>0.1920776392300664</v>
      </c>
      <c r="E5" s="5">
        <v>0.16820940505434265</v>
      </c>
      <c r="F5" s="5">
        <v>0.14434117087861886</v>
      </c>
      <c r="G5" s="5">
        <v>0.12047293670289509</v>
      </c>
      <c r="H5" s="5">
        <v>0.09660470252717132</v>
      </c>
      <c r="I5" s="5">
        <v>0.07273646835144754</v>
      </c>
      <c r="J5" s="5">
        <v>0.04886823417572378</v>
      </c>
      <c r="K5" s="5">
        <v>0.024999999999999994</v>
      </c>
    </row>
    <row r="6" spans="1:11" x14ac:dyDescent="0.25">
      <c r="A6" t="s">
        <v>50</v>
      </c>
      <c r="B6" s="18">
        <f>Assumptions!B29*(1+B5)</f>
        <v>15125527330</v>
      </c>
      <c r="C6" s="18">
        <f>B6*(1+C5)</f>
        <v>18391822540</v>
      </c>
      <c r="D6" s="18">
        <f>C6*(1+D5)</f>
        <v>21924480394.621525</v>
      </c>
      <c r="E6" s="18">
        <f>D6*(1+E5)</f>
        <v>25612384197.92641</v>
      </c>
      <c r="F6" s="18">
        <f>E6*(1+F5)</f>
        <v>29309305722.048145</v>
      </c>
      <c r="G6" s="18">
        <f>F6*(1+G5)</f>
        <v>32840283855.106255</v>
      </c>
      <c r="H6" s="18">
        <f>G6*(1+H5)</f>
        <v>36012809707.83666</v>
      </c>
      <c r="I6" s="18">
        <f>H6*(1+I5)</f>
        <v>38632254301.39742</v>
      </c>
      <c r="J6" s="18">
        <f>I6*(1+J5)</f>
        <v>40520144351.33423</v>
      </c>
      <c r="K6" s="18">
        <f>J6*(1+K5)</f>
        <v>41533147960.117584</v>
      </c>
    </row>
    <row r="7" spans="1:11" x14ac:dyDescent="0.25">
      <c r="A7" t="s">
        <v>4</v>
      </c>
      <c r="B7" s="9">
        <f>Assumptions!B7</f>
        <v>0.27788690085685386</v>
      </c>
      <c r="C7" s="9">
        <f>Assumptions!B7</f>
        <v>0.27788690085685386</v>
      </c>
      <c r="D7" s="9">
        <f>Assumptions!B7</f>
        <v>0.27788690085685386</v>
      </c>
      <c r="E7" s="9">
        <f>Assumptions!B7</f>
        <v>0.27788690085685386</v>
      </c>
      <c r="F7" s="9">
        <f>Assumptions!B7</f>
        <v>0.27788690085685386</v>
      </c>
      <c r="G7" s="9">
        <f>Assumptions!B7</f>
        <v>0.27788690085685386</v>
      </c>
      <c r="H7" s="9">
        <f>Assumptions!B7</f>
        <v>0.27788690085685386</v>
      </c>
      <c r="I7" s="9">
        <f>Assumptions!B7</f>
        <v>0.27788690085685386</v>
      </c>
      <c r="J7" s="9">
        <f>Assumptions!B7</f>
        <v>0.27788690085685386</v>
      </c>
      <c r="K7" s="9">
        <f>Assumptions!B7</f>
        <v>0.27788690085685386</v>
      </c>
    </row>
    <row r="8" spans="1:11" x14ac:dyDescent="0.25">
      <c r="A8" t="s">
        <v>51</v>
      </c>
      <c r="B8" s="18">
        <f>B6*B7</f>
        <v>4203185913.5593433</v>
      </c>
      <c r="C8" s="18">
        <f>C6*C7</f>
        <v>5110846566.74983</v>
      </c>
      <c r="D8" s="18">
        <f>D6*D7</f>
        <v>6092525909.758227</v>
      </c>
      <c r="E8" s="18">
        <f>E6*E7</f>
        <v>7117346068.316827</v>
      </c>
      <c r="F8" s="18">
        <f>F6*F7</f>
        <v>8144672133.366013</v>
      </c>
      <c r="G8" s="18">
        <f>G6*G7</f>
        <v>9125884703.75485</v>
      </c>
      <c r="H8" s="18">
        <f>H6*H7</f>
        <v>10007488080.85835</v>
      </c>
      <c r="I8" s="18">
        <f>I6*I7</f>
        <v>10735397420.929192</v>
      </c>
      <c r="J8" s="18">
        <f>J6*J7</f>
        <v>11260017336.064621</v>
      </c>
      <c r="K8" s="18">
        <f>K6*K7</f>
        <v>11541517769.466238</v>
      </c>
    </row>
    <row r="9" spans="1:11" x14ac:dyDescent="0.25">
      <c r="A9" t="s">
        <v>52</v>
      </c>
      <c r="B9" s="18">
        <f>B8*(1-Assumptions!B8)</f>
        <v>3794772109.719506</v>
      </c>
      <c r="C9" s="18">
        <f>C8*(1-Assumptions!B8)</f>
        <v>4614237487.328817</v>
      </c>
      <c r="D9" s="18">
        <f>D8*(1-Assumptions!B8)</f>
        <v>5500529330.74181</v>
      </c>
      <c r="E9" s="18">
        <f>E8*(1-Assumptions!B8)</f>
        <v>6425770096.949852</v>
      </c>
      <c r="F9" s="18">
        <f>F8*(1-Assumptions!B8)</f>
        <v>7353273276.54041</v>
      </c>
      <c r="G9" s="18">
        <f>G8*(1-Assumptions!B8)</f>
        <v>8239143702.544154</v>
      </c>
      <c r="H9" s="18">
        <f>H8*(1-Assumptions!B8)</f>
        <v>9035083729.00705</v>
      </c>
      <c r="I9" s="18">
        <f>I8*(1-Assumptions!B8)</f>
        <v>9692263810.714647</v>
      </c>
      <c r="J9" s="18">
        <f>J8*(1-Assumptions!B8)</f>
        <v>10165907628.309544</v>
      </c>
      <c r="K9" s="18">
        <f>K8*(1-Assumptions!B8)</f>
        <v>10420055319.017284</v>
      </c>
    </row>
    <row r="10" spans="1:11" x14ac:dyDescent="0.25">
      <c r="A10" t="s">
        <v>53</v>
      </c>
      <c r="B10" s="18">
        <f>B6*Assumptions!B9</f>
        <v>2957758468.977292</v>
      </c>
      <c r="C10" s="18">
        <f>C6*Assumptions!B9</f>
        <v>3596474204.8839664</v>
      </c>
      <c r="D10" s="18">
        <f>D6*Assumptions!B9</f>
        <v>4287276479.709909</v>
      </c>
      <c r="E10" s="18">
        <f>E6*Assumptions!B9</f>
        <v>5008436705.665389</v>
      </c>
      <c r="F10" s="18">
        <f>F6*Assumptions!B9</f>
        <v>5731360324.032584</v>
      </c>
      <c r="G10" s="18">
        <f>G6*Assumptions!B9</f>
        <v>6421834133.571246</v>
      </c>
      <c r="H10" s="18">
        <f>H6*Assumptions!B9</f>
        <v>7042213509.723732</v>
      </c>
      <c r="I10" s="18">
        <f>I6*Assumptions!B9</f>
        <v>7554439249.797888</v>
      </c>
      <c r="J10" s="18">
        <f>J6*Assumptions!B9</f>
        <v>7923611356.123291</v>
      </c>
      <c r="K10" s="18">
        <f>K6*Assumptions!B9</f>
        <v>8121701640.026373</v>
      </c>
    </row>
    <row r="11" spans="1:11" x14ac:dyDescent="0.25">
      <c r="A11" t="s">
        <v>54</v>
      </c>
      <c r="B11" s="18">
        <f>-B6*B19</f>
        <v>-1083830043.8263197</v>
      </c>
      <c r="C11" s="18">
        <f>-C6*C19</f>
        <v>-1447361652.7401447</v>
      </c>
      <c r="D11" s="18">
        <f>-D6*D19</f>
        <v>-1879721231.3735096</v>
      </c>
      <c r="E11" s="18">
        <f>-E6*E19</f>
        <v>-2376225546.3293843</v>
      </c>
      <c r="F11" s="18">
        <f>-F6*F19</f>
        <v>-2925557491.599221</v>
      </c>
      <c r="G11" s="18">
        <f>-G6*G19</f>
        <v>-3509211721.8772864</v>
      </c>
      <c r="H11" s="18">
        <f>-H6*H19</f>
        <v>-4101757171.4906387</v>
      </c>
      <c r="I11" s="18">
        <f>-I6*I19</f>
        <v>-4672085135.664422</v>
      </c>
      <c r="J11" s="18">
        <f>-J6*J19</f>
        <v>-5185673532.935698</v>
      </c>
      <c r="K11" s="18">
        <f>-K6*K19</f>
        <v>-5607719014.201114</v>
      </c>
    </row>
    <row r="12" spans="1:11" x14ac:dyDescent="0.25">
      <c r="A12" t="s">
        <v>55</v>
      </c>
      <c r="B12" s="18">
        <f>-(B6-Assumptions!B29)*Assumptions!B11</f>
        <v>-922190407.1791319</v>
      </c>
      <c r="C12" s="18">
        <f>-(C6-B6)*Assumptions!B11</f>
        <v>-733628329.4396245</v>
      </c>
      <c r="D12" s="18">
        <f>-(D6-C6)*Assumptions!B11</f>
        <v>-793454881.9816434</v>
      </c>
      <c r="E12" s="18">
        <f>-(E6-D6)*Assumptions!B11</f>
        <v>-828323997.8031873</v>
      </c>
      <c r="F12" s="18">
        <f>-(F6-E6)*Assumptions!B11</f>
        <v>-830349428.7678972</v>
      </c>
      <c r="G12" s="18">
        <f>-(G6-F6)*Assumptions!B11</f>
        <v>-793077607.0431384</v>
      </c>
      <c r="H12" s="18">
        <f>-(H6-G6)*Assumptions!B11</f>
        <v>-712567202.8409916</v>
      </c>
      <c r="I12" s="18">
        <f>-(I6-H6)*Assumptions!B11</f>
        <v>-588342032.0827758</v>
      </c>
      <c r="J12" s="18">
        <f>-(J6-I6)*Assumptions!B11</f>
        <v>-424030754.86273277</v>
      </c>
      <c r="K12" s="18">
        <f>-(K6-J6)*Assumptions!B11</f>
        <v>-227526324.91783994</v>
      </c>
    </row>
    <row r="13" spans="1:11" x14ac:dyDescent="0.25">
      <c r="A13" s="19" t="s">
        <v>56</v>
      </c>
      <c r="B13" s="20">
        <f>B9+B10+B11+B12</f>
        <v>4746510127.691347</v>
      </c>
      <c r="C13" s="20">
        <f>C9+C10+C11+C12</f>
        <v>6029721710.033014</v>
      </c>
      <c r="D13" s="20">
        <f>D9+D10+D11+D12</f>
        <v>7114629697.096566</v>
      </c>
      <c r="E13" s="20">
        <f>E9+E10+E11+E12</f>
        <v>8229657258.482671</v>
      </c>
      <c r="F13" s="20">
        <f>F9+F10+F11+F12</f>
        <v>9328726680.205877</v>
      </c>
      <c r="G13" s="20">
        <f>G9+G10+G11+G12</f>
        <v>10358688507.194975</v>
      </c>
      <c r="H13" s="20">
        <f>H9+H10+H11+H12</f>
        <v>11262972864.39915</v>
      </c>
      <c r="I13" s="20">
        <f>I9+I10+I11+I12</f>
        <v>11986275892.765339</v>
      </c>
      <c r="J13" s="20">
        <f>J9+J10+J11+J12</f>
        <v>12479814696.634405</v>
      </c>
      <c r="K13" s="20">
        <f>K9+K10+K11+K12</f>
        <v>12706511619.924702</v>
      </c>
    </row>
    <row r="14" spans="1:11" x14ac:dyDescent="0.25">
      <c r="A14" t="s">
        <v>57</v>
      </c>
      <c r="B14" s="21">
        <f>1/(1+Assumptions!$B$26)^(1-0.5*Assumptions!$B$32)</f>
        <v>0.9550307417482269</v>
      </c>
      <c r="C14" s="21">
        <f>1/(1+Assumptions!$B$26)^(2-0.5*Assumptions!$B$32)</f>
        <v>0.8710679894363919</v>
      </c>
      <c r="D14" s="21">
        <f>1/(1+Assumptions!$B$26)^(3-0.5*Assumptions!$B$32)</f>
        <v>0.7944869301608182</v>
      </c>
      <c r="E14" s="21">
        <f>1/(1+Assumptions!$B$26)^(4-0.5*Assumptions!$B$32)</f>
        <v>0.7246385929125614</v>
      </c>
      <c r="F14" s="21">
        <f>1/(1+Assumptions!$B$26)^(5-0.5*Assumptions!$B$32)</f>
        <v>0.6609310618011137</v>
      </c>
      <c r="G14" s="21">
        <f>1/(1+Assumptions!$B$26)^(6-0.5*Assumptions!$B$32)</f>
        <v>0.6028244599805048</v>
      </c>
      <c r="H14" s="21">
        <f>1/(1+Assumptions!$B$26)^(7-0.5*Assumptions!$B$32)</f>
        <v>0.54982637456997</v>
      </c>
      <c r="I14" s="21">
        <f>1/(1+Assumptions!$B$26)^(8-0.5*Assumptions!$B$32)</f>
        <v>0.5014876837985863</v>
      </c>
      <c r="J14" s="21">
        <f>1/(1+Assumptions!$B$26)^(9-0.5*Assumptions!$B$32)</f>
        <v>0.45739875101183747</v>
      </c>
      <c r="K14" s="21">
        <f>1/(1+Assumptions!$B$26)^(10-0.5*Assumptions!$B$32)</f>
        <v>0.417185953286972</v>
      </c>
    </row>
    <row r="15" spans="1:11" x14ac:dyDescent="0.25">
      <c r="A15" s="19" t="s">
        <v>58</v>
      </c>
      <c r="B15" s="20">
        <f>B13*B14</f>
        <v>4533063087.964539</v>
      </c>
      <c r="C15" s="20">
        <f>C13*C14</f>
        <v>5252297566.81942</v>
      </c>
      <c r="D15" s="20">
        <f>D13*D14</f>
        <v>5652480307.277243</v>
      </c>
      <c r="E15" s="20">
        <f>E13*E14</f>
        <v>5963527255.93953</v>
      </c>
      <c r="F15" s="20">
        <f>F13*F14</f>
        <v>6165645230.000849</v>
      </c>
      <c r="G15" s="20">
        <f>G13*G14</f>
        <v>6244470805.456073</v>
      </c>
      <c r="H15" s="20">
        <f>H13*H14</f>
        <v>6192679536.912535</v>
      </c>
      <c r="I15" s="20">
        <f>I13*I14</f>
        <v>6010969734.833722</v>
      </c>
      <c r="J15" s="20">
        <f>J13*J14</f>
        <v>5708251655.0997505</v>
      </c>
      <c r="K15" s="20">
        <f>K13*K14</f>
        <v>5300978163.110273</v>
      </c>
    </row>
    <row r="17" spans="1:2" x14ac:dyDescent="0.25">
      <c r="A17" s="22" t="s">
        <v>59</v>
      </c>
      <c r="B17" s="23">
        <f>SUM(B15:K15)</f>
        <v>57024363343.41394</v>
      </c>
    </row>
    <row r="19" spans="1:11" x14ac:dyDescent="0.25">
      <c r="A19" t="s">
        <v>7</v>
      </c>
      <c r="B19" s="9">
        <f>Assumptions!$B$10+($B$20-Assumptions!$B$10)*0/9</f>
        <v>0.07165568645508637</v>
      </c>
      <c r="C19" s="9">
        <f>Assumptions!$B$10+($B$20-Assumptions!$B$10)*1/9</f>
        <v>0.07869593399959723</v>
      </c>
      <c r="D19" s="9">
        <f>Assumptions!$B$10+($B$20-Assumptions!$B$10)*2/9</f>
        <v>0.08573618154410809</v>
      </c>
      <c r="E19" s="9">
        <f>Assumptions!$B$10+($B$20-Assumptions!$B$10)*3/9</f>
        <v>0.09277642908861895</v>
      </c>
      <c r="F19" s="9">
        <f>Assumptions!$B$10+($B$20-Assumptions!$B$10)*4/9</f>
        <v>0.09981667663312982</v>
      </c>
      <c r="G19" s="9">
        <f>Assumptions!$B$10+($B$20-Assumptions!$B$10)*5/9</f>
        <v>0.10685692417764069</v>
      </c>
      <c r="H19" s="9">
        <f>Assumptions!$B$10+($B$20-Assumptions!$B$10)*6/9</f>
        <v>0.11389717172215155</v>
      </c>
      <c r="I19" s="9">
        <f>Assumptions!$B$10+($B$20-Assumptions!$B$10)*7/9</f>
        <v>0.1209374192666624</v>
      </c>
      <c r="J19" s="9">
        <f>Assumptions!$B$10+($B$20-Assumptions!$B$10)*8/9</f>
        <v>0.12797766681117329</v>
      </c>
      <c r="K19" s="9">
        <f>Assumptions!$B$10+($B$20-Assumptions!$B$10)*9/9</f>
        <v>0.13501791435568414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0.13501791435568414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12706511619.924702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16569725003.134043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0.25936143273426515</v>
      </c>
    </row>
    <row r="7" spans="1:2" x14ac:dyDescent="0.25">
      <c r="A7" t="s">
        <v>66</v>
      </c>
      <c r="B7" s="18">
        <f>-MAX(B5,0)*B6</f>
        <v>-4297547616.825622</v>
      </c>
    </row>
    <row r="8" spans="1:2" x14ac:dyDescent="0.25">
      <c r="A8" t="s">
        <v>67</v>
      </c>
      <c r="B8" s="18">
        <f>IF(OR(Assumptions!$B$33=0,Assumptions!B12&lt;=0),B5,MAX(B5+B7,0))</f>
        <v>12272177386.308422</v>
      </c>
    </row>
    <row r="9" spans="1:2" x14ac:dyDescent="0.25">
      <c r="A9" t="s">
        <v>68</v>
      </c>
      <c r="B9" s="18">
        <f>B8*(1+Assumptions!B12)/(Assumptions!B26-Assumptions!B12)</f>
        <v>176199452289.85043</v>
      </c>
    </row>
    <row r="10" spans="1:2" x14ac:dyDescent="0.25">
      <c r="A10" t="s">
        <v>69</v>
      </c>
      <c r="B10" s="18">
        <f>B9/(1+Assumptions!B26)^(10-0.5*Assumptions!B32)</f>
        <v>73507936472.1836</v>
      </c>
    </row>
    <row r="11" spans="1:2" x14ac:dyDescent="0.25">
      <c r="A11" t="s">
        <v>70</v>
      </c>
      <c r="B11" s="18">
        <f>Forecast!B17+B10</f>
        <v>130532299815.59753</v>
      </c>
    </row>
    <row r="12" spans="1:2" x14ac:dyDescent="0.25">
      <c r="A12" t="s">
        <v>71</v>
      </c>
      <c r="B12" s="18">
        <f>-Assumptions!B30</f>
        <v>-5012289000</v>
      </c>
    </row>
    <row r="13" spans="1:2" x14ac:dyDescent="0.25">
      <c r="A13" t="s">
        <v>72</v>
      </c>
      <c r="B13" s="18">
        <f>B11+B12</f>
        <v>125520010815.59753</v>
      </c>
    </row>
    <row r="14" spans="1:2" x14ac:dyDescent="0.25">
      <c r="A14" s="19" t="s">
        <v>73</v>
      </c>
      <c r="B14" s="24">
        <f>B13/Assumptions!B31</f>
        <v>252.7033148495347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19663219409.49261</v>
      </c>
    </row>
    <row r="18" spans="1:2" x14ac:dyDescent="0.25">
      <c r="A18" t="s">
        <v>68</v>
      </c>
      <c r="B18" s="18">
        <f>B17*Assumptions!B13</f>
        <v>393264388189.85223</v>
      </c>
    </row>
    <row r="19" spans="1:2" x14ac:dyDescent="0.25">
      <c r="A19" t="s">
        <v>69</v>
      </c>
      <c r="B19" s="18">
        <f>B18/(1+Assumptions!B26)^(10-0.5*Assumptions!B32)</f>
        <v>164064378680.80133</v>
      </c>
    </row>
    <row r="20" spans="1:2" x14ac:dyDescent="0.25">
      <c r="A20" t="s">
        <v>70</v>
      </c>
      <c r="B20" s="18">
        <f>Forecast!B17+B19</f>
        <v>221088742024.21527</v>
      </c>
    </row>
    <row r="21" spans="1:2" x14ac:dyDescent="0.25">
      <c r="A21" t="s">
        <v>71</v>
      </c>
      <c r="B21" s="18">
        <f>-Assumptions!B30</f>
        <v>-5012289000</v>
      </c>
    </row>
    <row r="22" spans="1:2" x14ac:dyDescent="0.25">
      <c r="A22" t="s">
        <v>72</v>
      </c>
      <c r="B22" s="18">
        <f>B20+B21</f>
        <v>216076453024.21527</v>
      </c>
    </row>
    <row r="23" spans="1:2" x14ac:dyDescent="0.25">
      <c r="A23" s="19" t="s">
        <v>73</v>
      </c>
      <c r="B23" s="25">
        <f>B22/Assumptions!B31</f>
        <v>435.016182562054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412.85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252.7033148495347</v>
      </c>
    </row>
    <row r="29" spans="1:2" x14ac:dyDescent="0.25">
      <c r="A29" s="19" t="s">
        <v>81</v>
      </c>
      <c r="B29" s="11">
        <f>B28/B26-1</f>
        <v>-0.38790525651075525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0.076391</v>
      </c>
      <c r="B5" s="31">
        <v>341.824731063915</v>
      </c>
      <c r="C5" s="31">
        <v>337.33265330516986</v>
      </c>
      <c r="D5" s="31">
        <v>332.8405755464245</v>
      </c>
      <c r="E5" s="31">
        <v>328.3484977876794</v>
      </c>
      <c r="F5" s="31">
        <v>323.856420028934</v>
      </c>
    </row>
    <row r="6" spans="1:6" x14ac:dyDescent="0.25">
      <c r="A6" s="30">
        <v>0.086391</v>
      </c>
      <c r="B6" s="31">
        <v>295.4896522572701</v>
      </c>
      <c r="C6" s="31">
        <v>291.74049792053296</v>
      </c>
      <c r="D6" s="31">
        <v>287.9913435837958</v>
      </c>
      <c r="E6" s="31">
        <v>284.2421892470587</v>
      </c>
      <c r="F6" s="31">
        <v>280.4930349103215</v>
      </c>
    </row>
    <row r="7" spans="1:6" x14ac:dyDescent="0.25">
      <c r="A7" s="30">
        <v>0.096391</v>
      </c>
      <c r="B7" s="31">
        <v>259.05051007088036</v>
      </c>
      <c r="C7" s="31">
        <v>255.87625731085737</v>
      </c>
      <c r="D7" s="32">
        <v>252.70200455083415</v>
      </c>
      <c r="E7" s="31">
        <v>249.52775179081118</v>
      </c>
      <c r="F7" s="31">
        <v>246.35349903078807</v>
      </c>
    </row>
    <row r="8" spans="1:6" x14ac:dyDescent="0.25">
      <c r="A8" s="30">
        <v>0.106391</v>
      </c>
      <c r="B8" s="31">
        <v>229.70018017673414</v>
      </c>
      <c r="C8" s="31">
        <v>226.9811963280427</v>
      </c>
      <c r="D8" s="31">
        <v>224.2622124793513</v>
      </c>
      <c r="E8" s="31">
        <v>221.5432286306598</v>
      </c>
      <c r="F8" s="31">
        <v>218.82424478196842</v>
      </c>
    </row>
    <row r="9" spans="1:6" x14ac:dyDescent="0.25">
      <c r="A9" s="30">
        <v>0.116391</v>
      </c>
      <c r="B9" s="31">
        <v>205.59741362628225</v>
      </c>
      <c r="C9" s="31">
        <v>203.24574199612783</v>
      </c>
      <c r="D9" s="31">
        <v>200.89407036597342</v>
      </c>
      <c r="E9" s="31">
        <v>198.54239873581898</v>
      </c>
      <c r="F9" s="31">
        <v>196.19072710566456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11019707000</v>
      </c>
      <c r="C5" s="18">
        <v>9427157000</v>
      </c>
      <c r="D5" s="18">
        <v>12305539000</v>
      </c>
      <c r="E5" s="18">
        <v>12013953000</v>
      </c>
      <c r="F5" s="6" t="s">
        <v>91</v>
      </c>
    </row>
    <row r="6" spans="1:6" x14ac:dyDescent="0.25">
      <c r="A6" t="s">
        <v>51</v>
      </c>
      <c r="B6" s="18">
        <v>3002476000</v>
      </c>
      <c r="C6" s="18">
        <v>2070056000</v>
      </c>
      <c r="D6" s="18">
        <v>3983822000</v>
      </c>
      <c r="E6" s="18">
        <v>3553209000</v>
      </c>
      <c r="F6" s="6" t="s">
        <v>92</v>
      </c>
    </row>
    <row r="7" spans="1:6" x14ac:dyDescent="0.25">
      <c r="A7" t="s">
        <v>93</v>
      </c>
      <c r="B7" s="18">
        <v>1998845000</v>
      </c>
      <c r="C7" s="18">
        <v>2104316000</v>
      </c>
      <c r="D7" s="18">
        <v>2293103000</v>
      </c>
      <c r="E7" s="18">
        <v>2297499000</v>
      </c>
      <c r="F7" s="6" t="s">
        <v>94</v>
      </c>
    </row>
    <row r="8" spans="1:6" x14ac:dyDescent="0.25">
      <c r="A8" t="s">
        <v>95</v>
      </c>
      <c r="B8" s="18">
        <v>533552000</v>
      </c>
      <c r="C8" s="18">
        <v>730463000</v>
      </c>
      <c r="D8" s="18">
        <v>1261463000</v>
      </c>
      <c r="E8" s="18">
        <v>699308000</v>
      </c>
      <c r="F8" s="6" t="s">
        <v>96</v>
      </c>
    </row>
    <row r="9" spans="1:6" x14ac:dyDescent="0.25">
      <c r="A9" t="s">
        <v>97</v>
      </c>
      <c r="B9" s="18">
        <v>-481009000</v>
      </c>
      <c r="C9" s="18">
        <v>-194743000</v>
      </c>
      <c r="D9" s="18">
        <v>645590000</v>
      </c>
      <c r="E9" s="18">
        <v>883665000</v>
      </c>
      <c r="F9" s="6" t="s">
        <v>98</v>
      </c>
    </row>
    <row r="10" spans="1:6" x14ac:dyDescent="0.25">
      <c r="A10" t="s">
        <v>99</v>
      </c>
      <c r="B10" s="18">
        <v>8664610000</v>
      </c>
      <c r="C10" s="18">
        <v>7649817000</v>
      </c>
      <c r="D10" s="18">
        <v>7013478000</v>
      </c>
      <c r="E10" s="18">
        <v>6602253000</v>
      </c>
      <c r="F10" s="6" t="s">
        <v>100</v>
      </c>
    </row>
    <row r="11" spans="1:6" x14ac:dyDescent="0.25">
      <c r="A11" t="s">
        <v>101</v>
      </c>
      <c r="B11" s="18">
        <v>3652321000</v>
      </c>
      <c r="C11" s="18">
        <v>2363164000</v>
      </c>
      <c r="D11" s="18">
        <v>958061000</v>
      </c>
      <c r="E11" s="18">
        <v>1470572000</v>
      </c>
      <c r="F11" s="6" t="s">
        <v>102</v>
      </c>
    </row>
    <row r="12" spans="1:6" x14ac:dyDescent="0.25">
      <c r="A12" t="s">
        <v>34</v>
      </c>
      <c r="B12" s="34">
        <v>496709000</v>
      </c>
      <c r="C12" s="34">
        <v>498697000</v>
      </c>
      <c r="D12" s="34">
        <v>505959000</v>
      </c>
      <c r="E12" s="34">
        <v>523178000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