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<sst xmlns="http://schemas.openxmlformats.org/spreadsheetml/2006/main" count="112" uniqueCount="100">
  <si>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Analog Devices, Inc. (ADI)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</si>
  <si>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</si>
  <si>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</si>
  <si>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</si>
  <si>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</si>
  <si>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</si>
  <si>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</si>
  <si>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</si>
  <si>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</si>
  <si>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</si>
  <si>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</si>
  <si>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</si>
  <si>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</si>
  <si>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</si>
  <si>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</si>
  <si>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</si>
  <si>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</si>
  <si>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</si>
  <si>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</si>
  <si>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</si>
  <si>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</si>
  <si>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</si>
  <si>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</si>
  <si>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</si>
  <si>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</si>
  <si>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</si>
  <si>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</si>
  <si>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</si>
  <si>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</si>
  <si>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</si>
  <si>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2025-10-31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</si>
  <si>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</si>
  <si>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</si>
  <si>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</si>
  <si>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</si>
  <si>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</si>
  <si>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</si>
  <si>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</si>
  <si>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</si>
  <si>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</si>
  <si>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</si>
  <si>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</si>
  <si>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</si>
  <si>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</si>
  <si>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</si>
  <si>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</si>
  <si>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</si>
  <si>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</si>
  <si>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</si>
  <si>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</si>
  <si>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</si>
  <si>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</si>
  <si>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</si>
  <si>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</si>
  <si>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</si>
  <si>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</si>
  <si>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</si>
  <si>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</si>
  <si>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</si>
  <si>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</si>
  <si>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</si>
  <si>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</si>
  <si>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</si>
  <si>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</si>
  <si>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</si>
  <si>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</si>
  <si>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</si>
  <si>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</si>
  <si>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</si>
  <si>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</si>
  <si>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</si>
  <si>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</si>
  <si>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</si>
  <si>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</si>
  <si>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</si>
  <si>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</si>
  <si>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</si>
  <si>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</si>
  <si>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</si>
  <si>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2025-10-31</t>
  </si>
  <si>
    <t>2024-10-31</t>
  </si>
  <si>
    <t>2023-10-31</t>
  </si>
  <si>
    <t>2022-10-31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</si>
  <si>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</si>
  <si>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</si>
  <si>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</si>
  <si>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</si>
  <si>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</si>
  <si>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</si>
  <si>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</si>
  <si>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</si>
  <si>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</si>
  <si>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</si>
  <si>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</si>
  <si>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</si>
  <si>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</si>
  <si>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</si>
  <si>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</si>
  <si>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37.4x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</si>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</sst>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-0.028383891841526898</v>
      </c>
    </row>
    <row r="7" spans="1:2" x14ac:dyDescent="0.25">
      <c r="A7" t="s">
        <v>5</v>
      </c>
      <c r="B7" s="6">
        <v>0.27788690085685386</v>
      </c>
    </row>
    <row r="8" spans="1:2" x14ac:dyDescent="0.25">
      <c r="A8" t="s">
        <v>6</v>
      </c>
      <c r="B8" s="6">
        <v>0.09716767524422558</v>
      </c>
    </row>
    <row r="9" spans="1:2" x14ac:dyDescent="0.25">
      <c r="A9" t="s">
        <v>7</v>
      </c>
      <c r="B9" s="6">
        <v>0.1955474612188144</v>
      </c>
    </row>
    <row r="10" spans="1:2" x14ac:dyDescent="0.25">
      <c r="A10" t="s">
        <v>8</v>
      </c>
      <c r="B10" s="6">
        <v>0.07165568645508637</v>
      </c>
    </row>
    <row r="11" spans="1:2" x14ac:dyDescent="0.25">
      <c r="A11" t="s">
        <v>9</v>
      </c>
      <c r="B11" s="6">
        <v>0.06765710736101045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0.10947180064172447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1.13735</v>
      </c>
      <c r="C19" s="8" t="s">
        <v>19</v>
      </c>
    </row>
    <row r="20" spans="1:2" x14ac:dyDescent="0.25">
      <c r="A20" t="s">
        <v>20</v>
      </c>
      <c r="B20" s="10">
        <f>B17+B19*B18</f>
        <v>0.11253425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182060941312</v>
      </c>
    </row>
    <row r="23" spans="1:2" x14ac:dyDescent="0.25">
      <c r="A23" t="s">
        <v>24</v>
      </c>
      <c r="B23" s="11">
        <v>8664610000</v>
      </c>
    </row>
    <row r="24" spans="1:2" x14ac:dyDescent="0.25">
      <c r="A24" t="s">
        <v>25</v>
      </c>
      <c r="B24" s="10">
        <f>B22/(B22+B23)</f>
        <v>0.9545702715740172</v>
      </c>
    </row>
    <row r="25" spans="1:2" x14ac:dyDescent="0.25">
      <c r="A25" t="s">
        <v>26</v>
      </c>
      <c r="B25" s="10">
        <f>1-B24</f>
        <v>0.04542972842598281</v>
      </c>
    </row>
    <row r="26" spans="1:2" x14ac:dyDescent="0.25">
      <c r="A26" t="s">
        <v>27</v>
      </c>
      <c r="B26" s="12">
        <f>B24*B20+B25*B21*(1-B8)</f>
        <v>0.10947180064172447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11019707000</v>
      </c>
      <c r="C29" s="8" t="s">
        <v>30</v>
      </c>
    </row>
    <row r="30" spans="1:2" x14ac:dyDescent="0.25">
      <c r="A30" t="s">
        <v>31</v>
      </c>
      <c r="B30" s="11">
        <v>5012289000</v>
      </c>
    </row>
    <row r="31" spans="1:2" x14ac:dyDescent="0.25">
      <c r="A31" t="s">
        <v>32</v>
      </c>
      <c r="B31" s="13">
        <v>496709000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-0.028383891841526898</v>
      </c>
      <c r="C5" s="10">
        <f>Assumptions!B6</f>
        <v>-0.028383891841526898</v>
      </c>
      <c r="D5" s="10">
        <f>Assumptions!B6</f>
        <v>-0.028383891841526898</v>
      </c>
      <c r="E5" s="10">
        <f>Assumptions!B6</f>
        <v>-0.028383891841526898</v>
      </c>
      <c r="F5" s="10">
        <f>Assumptions!B6</f>
        <v>-0.028383891841526898</v>
      </c>
    </row>
    <row r="6" spans="1:6" x14ac:dyDescent="0.25">
      <c r="A6" t="s">
        <v>43</v>
      </c>
      <c r="B6" s="18">
        <f>Assumptions!B29*(1+B5)</f>
        <v>10706924828.386683</v>
      </c>
      <c r="C6" s="18">
        <f>B6*(1+C5)</f>
        <v>10403020632.102396</v>
      </c>
      <c r="D6" s="18">
        <f>C6*(1+D5)</f>
        <v>10107742419.655628</v>
      </c>
      <c r="E6" s="18">
        <f>D6*(1+E5)</f>
        <v>9820845352.05411</v>
      </c>
      <c r="F6" s="18">
        <f>E6*(1+F5)</f>
        <v>9542091539.789043</v>
      </c>
    </row>
    <row r="7" spans="1:6" x14ac:dyDescent="0.25">
      <c r="A7" t="s">
        <v>5</v>
      </c>
      <c r="B7" s="10">
        <f>Assumptions!B7</f>
        <v>0.27788690085685386</v>
      </c>
      <c r="C7" s="10">
        <f>Assumptions!B7</f>
        <v>0.27788690085685386</v>
      </c>
      <c r="D7" s="10">
        <f>Assumptions!B7</f>
        <v>0.27788690085685386</v>
      </c>
      <c r="E7" s="10">
        <f>Assumptions!B7</f>
        <v>0.27788690085685386</v>
      </c>
      <c r="F7" s="10">
        <f>Assumptions!B7</f>
        <v>0.27788690085685386</v>
      </c>
    </row>
    <row r="8" spans="1:6" x14ac:dyDescent="0.25">
      <c r="A8" t="s">
        <v>44</v>
      </c>
      <c r="B8" s="18">
        <f>B6*B7</f>
        <v>2975314158.267677</v>
      </c>
      <c r="C8" s="18">
        <f>C6*C7</f>
        <v>2890863163.0048437</v>
      </c>
      <c r="D8" s="18">
        <f>D6*D7</f>
        <v>2808809215.6574597</v>
      </c>
      <c r="E8" s="18">
        <f>E6*E7</f>
        <v>2729084278.6767545</v>
      </c>
      <c r="F8" s="18">
        <f>F6*F7</f>
        <v>2651622245.684382</v>
      </c>
    </row>
    <row r="9" spans="1:6" x14ac:dyDescent="0.25">
      <c r="A9" t="s">
        <v>45</v>
      </c>
      <c r="B9" s="18">
        <f>B8*(1-Assumptions!B8)</f>
        <v>2686209798.387577</v>
      </c>
      <c r="C9" s="18">
        <f>C8*(1-Assumptions!B8)</f>
        <v>2609964710.0064945</v>
      </c>
      <c r="D9" s="18">
        <f>D8*(1-Assumptions!B8)</f>
        <v>2535883753.967468</v>
      </c>
      <c r="E9" s="18">
        <f>E8*(1-Assumptions!B8)</f>
        <v>2463905503.77217</v>
      </c>
      <c r="F9" s="18">
        <f>F8*(1-Assumptions!B8)</f>
        <v>2393970276.445358</v>
      </c>
    </row>
    <row r="10" spans="1:6" x14ac:dyDescent="0.25">
      <c r="A10" t="s">
        <v>46</v>
      </c>
      <c r="B10" s="18">
        <f>B6*Assumptions!B9</f>
        <v>2093711967.6517057</v>
      </c>
      <c r="C10" s="18">
        <f>C6*Assumptions!B9</f>
        <v>2034284273.6145692</v>
      </c>
      <c r="D10" s="18">
        <f>D6*Assumptions!B9</f>
        <v>1976543368.817374</v>
      </c>
      <c r="E10" s="18">
        <f>E6*Assumptions!B9</f>
        <v>1920441375.6167746</v>
      </c>
      <c r="F10" s="18">
        <f>F6*Assumptions!B9</f>
        <v>1865931775.3232749</v>
      </c>
    </row>
    <row r="11" spans="1:6" x14ac:dyDescent="0.25">
      <c r="A11" t="s">
        <v>47</v>
      </c>
      <c r="B11" s="18">
        <f>-B6*Assumptions!B10</f>
        <v>-767212048.4010556</v>
      </c>
      <c r="C11" s="18">
        <f>-C6*Assumptions!B10</f>
        <v>-745435584.5997237</v>
      </c>
      <c r="D11" s="18">
        <f>-D6*Assumptions!B10</f>
        <v>-724277221.5916197</v>
      </c>
      <c r="E11" s="18">
        <f>-E6*Assumptions!B10</f>
        <v>-703719415.2706816</v>
      </c>
      <c r="F11" s="18">
        <f>-F6*Assumptions!B10</f>
        <v>-683745119.5008559</v>
      </c>
    </row>
    <row r="12" spans="1:6" x14ac:dyDescent="0.25">
      <c r="A12" t="s">
        <v>48</v>
      </c>
      <c r="B12" s="18">
        <f>-(B6-Assumptions!B29)*Assumptions!B11</f>
        <v>21161936.965452217</v>
      </c>
      <c r="C12" s="18">
        <f>-(C6-B6)*Assumptions!B11</f>
        <v>20561278.835467566</v>
      </c>
      <c r="D12" s="18">
        <f>-(D6-C6)*Assumptions!B11</f>
        <v>19977669.72087822</v>
      </c>
      <c r="E12" s="18">
        <f>-(E6-D6)*Assumptions!B11</f>
        <v>19410625.70427502</v>
      </c>
      <c r="F12" s="18">
        <f>-(F6-E6)*Assumptions!B11</f>
        <v>18859676.60370853</v>
      </c>
    </row>
    <row r="13" spans="1:6" x14ac:dyDescent="0.25">
      <c r="A13" s="19" t="s">
        <v>49</v>
      </c>
      <c r="B13" s="20">
        <f>B9+B10+B11+B12</f>
        <v>4033871654.6036797</v>
      </c>
      <c r="C13" s="20">
        <f>C9+C10+C11+C12</f>
        <v>3919374677.8568068</v>
      </c>
      <c r="D13" s="20">
        <f>D9+D10+D11+D12</f>
        <v>3808127570.9141</v>
      </c>
      <c r="E13" s="20">
        <f>E9+E10+E11+E12</f>
        <v>3700038089.8225384</v>
      </c>
      <c r="F13" s="20">
        <f>F9+F10+F11+F12</f>
        <v>3595016608.8714857</v>
      </c>
    </row>
    <row r="14" spans="1:6" x14ac:dyDescent="0.25">
      <c r="A14" t="s">
        <v>50</v>
      </c>
      <c r="B14" s="21">
        <f>1/(1+Assumptions!$B$26)^(1-0.5*Assumptions!$B$32)</f>
        <v>0.9493839073024366</v>
      </c>
      <c r="C14" s="21">
        <f>1/(1+Assumptions!$B$26)^(2-0.5*Assumptions!$B$32)</f>
        <v>0.8557080105626008</v>
      </c>
      <c r="D14" s="21">
        <f>1/(1+Assumptions!$B$26)^(3-0.5*Assumptions!$B$32)</f>
        <v>0.7712751329665654</v>
      </c>
      <c r="E14" s="21">
        <f>1/(1+Assumptions!$B$26)^(4-0.5*Assumptions!$B$32)</f>
        <v>0.6951732639986483</v>
      </c>
      <c r="F14" s="21">
        <f>1/(1+Assumptions!$B$26)^(5-0.5*Assumptions!$B$32)</f>
        <v>0.6265803814000106</v>
      </c>
    </row>
    <row r="15" spans="1:6" x14ac:dyDescent="0.25">
      <c r="A15" s="19" t="s">
        <v>51</v>
      </c>
      <c r="B15" s="20">
        <f>B13*B14</f>
        <v>3829692833.004186</v>
      </c>
      <c r="C15" s="20">
        <f>C13*C14</f>
        <v>3353840308.2382827</v>
      </c>
      <c r="D15" s="20">
        <f>D13*D14</f>
        <v>2937114098.610416</v>
      </c>
      <c r="E15" s="20">
        <f>E13*E14</f>
        <v>2572167555.821258</v>
      </c>
      <c r="F15" s="20">
        <f>F13*F14</f>
        <v>2252566877.9260683</v>
      </c>
    </row>
    <row r="17" spans="1:2" x14ac:dyDescent="0.25">
      <c r="A17" s="22" t="s">
        <v>52</v>
      </c>
      <c r="B17" s="23">
        <f>SUM(B15:F15)</f>
        <v>14945381673.600212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3595016608.8714857</v>
      </c>
    </row>
    <row r="5" spans="1:2" x14ac:dyDescent="0.25">
      <c r="A5" t="s">
        <v>56</v>
      </c>
      <c r="B5" s="18">
        <f>IF(Assumptions!$B$33=0,B4,B4-Forecast!F11-Forecast!F10-Forecast!F12)</f>
        <v>3806834794.2434344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0.22836931386393414</v>
      </c>
    </row>
    <row r="7" spans="1:2" x14ac:dyDescent="0.25">
      <c r="A7" t="s">
        <v>58</v>
      </c>
      <c r="B7" s="18">
        <f>-MAX(Forecast!F9,0)*B6</f>
        <v>-869364249.954724</v>
      </c>
    </row>
    <row r="8" spans="1:2" x14ac:dyDescent="0.25">
      <c r="A8" t="s">
        <v>59</v>
      </c>
      <c r="B8" s="18">
        <f>IF(OR(Assumptions!$B$33=0,Assumptions!B12&lt;=0),B5,MAX(B5+B7,0))</f>
        <v>2937470544.2887106</v>
      </c>
    </row>
    <row r="9" spans="1:2" x14ac:dyDescent="0.25">
      <c r="A9" t="s">
        <v>60</v>
      </c>
      <c r="B9" s="18">
        <f>B8*(1+Assumptions!B12)/(Assumptions!B26-Assumptions!B12)</f>
        <v>35643934248.14368</v>
      </c>
    </row>
    <row r="10" spans="1:2" x14ac:dyDescent="0.25">
      <c r="A10" t="s">
        <v>61</v>
      </c>
      <c r="B10" s="18">
        <f>B9/(1+Assumptions!B26)^(5-0.5*Assumptions!B32)</f>
        <v>22333789915.798763</v>
      </c>
    </row>
    <row r="11" spans="1:2" x14ac:dyDescent="0.25">
      <c r="A11" t="s">
        <v>62</v>
      </c>
      <c r="B11" s="18">
        <f>Forecast!B17+B10</f>
        <v>37279171589.39897</v>
      </c>
    </row>
    <row r="12" spans="1:2" x14ac:dyDescent="0.25">
      <c r="A12" t="s">
        <v>63</v>
      </c>
      <c r="B12" s="18">
        <f>-Assumptions!B30</f>
        <v>-5012289000</v>
      </c>
    </row>
    <row r="13" spans="1:2" x14ac:dyDescent="0.25">
      <c r="A13" t="s">
        <v>64</v>
      </c>
      <c r="B13" s="18">
        <f>B11+B12</f>
        <v>32266882589.39897</v>
      </c>
    </row>
    <row r="14" spans="1:2" x14ac:dyDescent="0.25">
      <c r="A14" s="19" t="s">
        <v>65</v>
      </c>
      <c r="B14" s="24">
        <f>B13/Assumptions!B31</f>
        <v>64.96134072343962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4517554021.007657</v>
      </c>
    </row>
    <row r="18" spans="1:2" x14ac:dyDescent="0.25">
      <c r="A18" t="s">
        <v>60</v>
      </c>
      <c r="B18" s="18">
        <f>B17*Assumptions!B13</f>
        <v>90351080420.15314</v>
      </c>
    </row>
    <row r="19" spans="1:2" x14ac:dyDescent="0.25">
      <c r="A19" t="s">
        <v>61</v>
      </c>
      <c r="B19" s="18">
        <f>B18/(1+Assumptions!B26)^(5-0.5*Assumptions!B32)</f>
        <v>56612214429.562584</v>
      </c>
    </row>
    <row r="20" spans="1:2" x14ac:dyDescent="0.25">
      <c r="A20" t="s">
        <v>62</v>
      </c>
      <c r="B20" s="18">
        <f>Forecast!B17+B19</f>
        <v>71557596103.1628</v>
      </c>
    </row>
    <row r="21" spans="1:2" x14ac:dyDescent="0.25">
      <c r="A21" t="s">
        <v>63</v>
      </c>
      <c r="B21" s="18">
        <f>-Assumptions!B30</f>
        <v>-5012289000</v>
      </c>
    </row>
    <row r="22" spans="1:2" x14ac:dyDescent="0.25">
      <c r="A22" t="s">
        <v>64</v>
      </c>
      <c r="B22" s="18">
        <f>B20+B21</f>
        <v>66545307103.162796</v>
      </c>
    </row>
    <row r="23" spans="1:2" x14ac:dyDescent="0.25">
      <c r="A23" s="19" t="s">
        <v>65</v>
      </c>
      <c r="B23" s="25">
        <f>B22/Assumptions!B31</f>
        <v>133.97242067923634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375.72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64.96134072343962</v>
      </c>
    </row>
    <row r="29" spans="1:2" x14ac:dyDescent="0.25">
      <c r="A29" s="19" t="s">
        <v>73</v>
      </c>
      <c r="B29" s="12">
        <f>B28/B26-1</f>
        <v>-0.8271017227631225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0.089472</v>
      </c>
      <c r="B5" s="31">
        <v>80.38207297038147</v>
      </c>
      <c r="C5" s="31">
        <v>80.67332739437508</v>
      </c>
      <c r="D5" s="31">
        <v>80.96458181836866</v>
      </c>
      <c r="E5" s="31">
        <v>81.25583624236224</v>
      </c>
      <c r="F5" s="31">
        <v>81.54709066635581</v>
      </c>
    </row>
    <row r="6" spans="1:6" x14ac:dyDescent="0.25">
      <c r="A6" s="30">
        <v>0.099472</v>
      </c>
      <c r="B6" s="31">
        <v>71.65436008806871</v>
      </c>
      <c r="C6" s="31">
        <v>71.9057815650376</v>
      </c>
      <c r="D6" s="31">
        <v>72.15720304200647</v>
      </c>
      <c r="E6" s="31">
        <v>72.40862451897534</v>
      </c>
      <c r="F6" s="31">
        <v>72.66004599594423</v>
      </c>
    </row>
    <row r="7" spans="1:6" x14ac:dyDescent="0.25">
      <c r="A7" s="30">
        <v>0.109472</v>
      </c>
      <c r="B7" s="31">
        <v>64.52254296136812</v>
      </c>
      <c r="C7" s="31">
        <v>64.74187667622121</v>
      </c>
      <c r="D7" s="32">
        <v>64.9612103910743</v>
      </c>
      <c r="E7" s="31">
        <v>65.18054410592741</v>
      </c>
      <c r="F7" s="31">
        <v>65.3998778207805</v>
      </c>
    </row>
    <row r="8" spans="1:6" x14ac:dyDescent="0.25">
      <c r="A8" s="30">
        <v>0.119472</v>
      </c>
      <c r="B8" s="31">
        <v>58.58569829288097</v>
      </c>
      <c r="C8" s="31">
        <v>58.77872007063889</v>
      </c>
      <c r="D8" s="31">
        <v>58.971741848396775</v>
      </c>
      <c r="E8" s="31">
        <v>59.16476362615471</v>
      </c>
      <c r="F8" s="31">
        <v>59.357785403912615</v>
      </c>
    </row>
    <row r="9" spans="1:6" x14ac:dyDescent="0.25">
      <c r="A9" s="30">
        <v>0.129472</v>
      </c>
      <c r="B9" s="31">
        <v>53.56678063001977</v>
      </c>
      <c r="C9" s="31">
        <v>53.73790684225735</v>
      </c>
      <c r="D9" s="31">
        <v>53.90903305449494</v>
      </c>
      <c r="E9" s="31">
        <v>54.08015926673252</v>
      </c>
      <c r="F9" s="31">
        <v>54.251285478970104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11019707000</v>
      </c>
      <c r="C5" s="18">
        <v>9427157000</v>
      </c>
      <c r="D5" s="18">
        <v>12305539000</v>
      </c>
      <c r="E5" s="18">
        <v>12013953000</v>
      </c>
      <c r="F5" s="8" t="s">
        <v>84</v>
      </c>
    </row>
    <row r="6" spans="1:6" x14ac:dyDescent="0.25">
      <c r="A6" t="s">
        <v>44</v>
      </c>
      <c r="B6" s="18">
        <v>3002476000</v>
      </c>
      <c r="C6" s="18">
        <v>2070056000</v>
      </c>
      <c r="D6" s="18">
        <v>3983822000</v>
      </c>
      <c r="E6" s="18">
        <v>3553209000</v>
      </c>
      <c r="F6" s="8" t="s">
        <v>85</v>
      </c>
    </row>
    <row r="7" spans="1:6" x14ac:dyDescent="0.25">
      <c r="A7" t="s">
        <v>86</v>
      </c>
      <c r="B7" s="18">
        <v>1998845000</v>
      </c>
      <c r="C7" s="18">
        <v>2104316000</v>
      </c>
      <c r="D7" s="18">
        <v>2293103000</v>
      </c>
      <c r="E7" s="18">
        <v>2297499000</v>
      </c>
      <c r="F7" s="8" t="s">
        <v>87</v>
      </c>
    </row>
    <row r="8" spans="1:6" x14ac:dyDescent="0.25">
      <c r="A8" t="s">
        <v>88</v>
      </c>
      <c r="B8" s="18">
        <v>533552000</v>
      </c>
      <c r="C8" s="18">
        <v>730463000</v>
      </c>
      <c r="D8" s="18">
        <v>1261463000</v>
      </c>
      <c r="E8" s="18">
        <v>699308000</v>
      </c>
      <c r="F8" s="8" t="s">
        <v>89</v>
      </c>
    </row>
    <row r="9" spans="1:6" x14ac:dyDescent="0.25">
      <c r="A9" t="s">
        <v>90</v>
      </c>
      <c r="B9" s="18">
        <v>-481009000</v>
      </c>
      <c r="C9" s="18">
        <v>-194743000</v>
      </c>
      <c r="D9" s="18">
        <v>645590000</v>
      </c>
      <c r="E9" s="18">
        <v>883665000</v>
      </c>
      <c r="F9" s="8" t="s">
        <v>91</v>
      </c>
    </row>
    <row r="10" spans="1:6" x14ac:dyDescent="0.25">
      <c r="A10" t="s">
        <v>92</v>
      </c>
      <c r="B10" s="18">
        <v>8664610000</v>
      </c>
      <c r="C10" s="18">
        <v>7649817000</v>
      </c>
      <c r="D10" s="18">
        <v>7013478000</v>
      </c>
      <c r="E10" s="18">
        <v>6602253000</v>
      </c>
      <c r="F10" s="8" t="s">
        <v>93</v>
      </c>
    </row>
    <row r="11" spans="1:6" x14ac:dyDescent="0.25">
      <c r="A11" t="s">
        <v>94</v>
      </c>
      <c r="B11" s="18">
        <v>3652321000</v>
      </c>
      <c r="C11" s="18">
        <v>2363164000</v>
      </c>
      <c r="D11" s="18">
        <v>958061000</v>
      </c>
      <c r="E11" s="18">
        <v>1470572000</v>
      </c>
      <c r="F11" s="8" t="s">
        <v>95</v>
      </c>
    </row>
    <row r="12" spans="1:6" x14ac:dyDescent="0.25">
      <c r="A12" t="s">
        <v>32</v>
      </c>
      <c r="B12" s="34">
        <v>496709000</v>
      </c>
      <c r="C12" s="34">
        <v>498697000</v>
      </c>
      <c r="D12" s="34">
        <v>505959000</v>
      </c>
      <c r="E12" s="34">
        <v>523178000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2026-09-19T01:03:59Z</dcterms:modified>
</cp:coreProperties>
</file>