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<sst xmlns="http://schemas.openxmlformats.org/spreadsheetml/2006/main" count="112" uniqueCount="100">
  <si>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Archer-Daniels-Midland Company (ADM)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</si>
  <si>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</si>
  <si>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</si>
  <si>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</si>
  <si>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</si>
  <si>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</si>
  <si>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</si>
  <si>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</si>
  <si>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</si>
  <si>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</si>
  <si>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</si>
  <si>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</si>
  <si>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</si>
  <si>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</si>
  <si>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</si>
  <si>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</si>
  <si>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</si>
  <si>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</si>
  <si>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</si>
  <si>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</si>
  <si>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</si>
  <si>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</si>
  <si>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</si>
  <si>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</si>
  <si>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</si>
  <si>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</si>
  <si>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</si>
  <si>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</si>
  <si>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</si>
  <si>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</si>
  <si>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</si>
  <si>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</si>
  <si>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</si>
  <si>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</si>
  <si>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</si>
  <si>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</si>
  <si>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</si>
  <si>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</si>
  <si>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</si>
  <si>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</si>
  <si>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</si>
  <si>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</si>
  <si>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</si>
  <si>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</si>
  <si>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</si>
  <si>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</si>
  <si>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</si>
  <si>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</si>
  <si>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</si>
  <si>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</si>
  <si>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</si>
  <si>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</si>
  <si>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</si>
  <si>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</si>
  <si>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</si>
  <si>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</si>
  <si>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</si>
  <si>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</si>
  <si>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</si>
  <si>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</si>
  <si>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</si>
  <si>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</si>
  <si>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</si>
  <si>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</si>
  <si>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</si>
  <si>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</si>
  <si>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</si>
  <si>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</si>
  <si>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</si>
  <si>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</si>
  <si>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</si>
  <si>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</si>
  <si>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</si>
  <si>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</si>
  <si>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</si>
  <si>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</si>
  <si>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</si>
  <si>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</si>
  <si>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</si>
  <si>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</si>
  <si>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</si>
  <si>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</si>
  <si>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</si>
  <si>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</si>
  <si>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</si>
  <si>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</si>
  <si>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</si>
  <si>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</si>
  <si>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</si>
  <si>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</si>
  <si>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</si>
  <si>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</si>
  <si>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</si>
  <si>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</si>
  <si>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</si>
  <si>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</si>
  <si>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</si>
  <si>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</si>
  <si>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1.6% of revenue against depreciation of 1.2%.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</si>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</sst>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-0.07541376844907977</v>
      </c>
    </row>
    <row r="7" spans="1:2" x14ac:dyDescent="0.25">
      <c r="A7" t="s">
        <v>5</v>
      </c>
      <c r="B7" s="6">
        <v>0.03165746498637466</v>
      </c>
    </row>
    <row r="8" spans="1:2" x14ac:dyDescent="0.25">
      <c r="A8" t="s">
        <v>6</v>
      </c>
      <c r="B8" s="6">
        <v>0.17934881917635842</v>
      </c>
    </row>
    <row r="9" spans="1:2" x14ac:dyDescent="0.25">
      <c r="A9" t="s">
        <v>7</v>
      </c>
      <c r="B9" s="6">
        <v>0.012362405745400037</v>
      </c>
    </row>
    <row r="10" spans="1:2" x14ac:dyDescent="0.25">
      <c r="A10" t="s">
        <v>8</v>
      </c>
      <c r="B10" s="6">
        <v>0.01567863338855687</v>
      </c>
    </row>
    <row r="11" spans="1:2" x14ac:dyDescent="0.25">
      <c r="A11" t="s">
        <v>9</v>
      </c>
      <c r="B11" s="6">
        <v>-0.03503477233958798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19.10338547715931</v>
      </c>
    </row>
    <row r="14" spans="1:3" x14ac:dyDescent="0.25">
      <c r="A14" t="s">
        <v>12</v>
      </c>
      <c r="B14" s="6">
        <v>0.08235522547897084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0.74071</v>
      </c>
      <c r="C19" s="8" t="s">
        <v>19</v>
      </c>
    </row>
    <row r="20" spans="1:2" x14ac:dyDescent="0.25">
      <c r="A20" t="s">
        <v>20</v>
      </c>
      <c r="B20" s="10">
        <f>B17+B19*B18</f>
        <v>0.09071905</v>
      </c>
    </row>
    <row r="21" spans="1:3" x14ac:dyDescent="0.25">
      <c r="A21" t="s">
        <v>21</v>
      </c>
      <c r="B21" s="6">
        <v>0.0574755822689707</v>
      </c>
      <c r="C21" s="8" t="s">
        <v>22</v>
      </c>
    </row>
    <row r="22" spans="1:2" x14ac:dyDescent="0.25">
      <c r="A22" t="s">
        <v>23</v>
      </c>
      <c r="B22" s="11">
        <v>41053319168</v>
      </c>
    </row>
    <row r="23" spans="1:2" x14ac:dyDescent="0.25">
      <c r="A23" t="s">
        <v>24</v>
      </c>
      <c r="B23" s="11">
        <v>9758000000</v>
      </c>
    </row>
    <row r="24" spans="1:2" x14ac:dyDescent="0.25">
      <c r="A24" t="s">
        <v>25</v>
      </c>
      <c r="B24" s="10">
        <f>B22/(B22+B23)</f>
        <v>0.8079561766988053</v>
      </c>
    </row>
    <row r="25" spans="1:2" x14ac:dyDescent="0.25">
      <c r="A25" t="s">
        <v>26</v>
      </c>
      <c r="B25" s="10">
        <f>1-B24</f>
        <v>0.19204382330119474</v>
      </c>
    </row>
    <row r="26" spans="1:2" x14ac:dyDescent="0.25">
      <c r="A26" t="s">
        <v>27</v>
      </c>
      <c r="B26" s="12">
        <f>B24*B20+B25*B21*(1-B8)</f>
        <v>0.08235522547897084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80269000000</v>
      </c>
      <c r="C29" s="8" t="s">
        <v>30</v>
      </c>
    </row>
    <row r="30" spans="1:2" x14ac:dyDescent="0.25">
      <c r="A30" t="s">
        <v>31</v>
      </c>
      <c r="B30" s="11">
        <v>8711000000</v>
      </c>
    </row>
    <row r="31" spans="1:2" x14ac:dyDescent="0.25">
      <c r="A31" t="s">
        <v>32</v>
      </c>
      <c r="B31" s="13">
        <v>484000000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-0.07541376844907977</v>
      </c>
      <c r="C5" s="10">
        <f>Assumptions!B6</f>
        <v>-0.07541376844907977</v>
      </c>
      <c r="D5" s="10">
        <f>Assumptions!B6</f>
        <v>-0.07541376844907977</v>
      </c>
      <c r="E5" s="10">
        <f>Assumptions!B6</f>
        <v>-0.07541376844907977</v>
      </c>
      <c r="F5" s="10">
        <f>Assumptions!B6</f>
        <v>-0.07541376844907977</v>
      </c>
    </row>
    <row r="6" spans="1:6" x14ac:dyDescent="0.25">
      <c r="A6" t="s">
        <v>43</v>
      </c>
      <c r="B6" s="18">
        <f>Assumptions!B29*(1+B5)</f>
        <v>74215612220.36081</v>
      </c>
      <c r="C6" s="18">
        <f>B6*(1+C5)</f>
        <v>68618733225.067825</v>
      </c>
      <c r="D6" s="18">
        <f>C6*(1+D5)</f>
        <v>63443935966.36338</v>
      </c>
      <c r="E6" s="18">
        <f>D6*(1+E5)</f>
        <v>58659389669.89781</v>
      </c>
      <c r="F6" s="18">
        <f>E6*(1+F5)</f>
        <v>54235664039.9678</v>
      </c>
    </row>
    <row r="7" spans="1:6" x14ac:dyDescent="0.25">
      <c r="A7" t="s">
        <v>5</v>
      </c>
      <c r="B7" s="10">
        <f>Assumptions!B7</f>
        <v>0.03165746498637466</v>
      </c>
      <c r="C7" s="10">
        <f>Assumptions!B7</f>
        <v>0.03165746498637466</v>
      </c>
      <c r="D7" s="10">
        <f>Assumptions!B7</f>
        <v>0.03165746498637466</v>
      </c>
      <c r="E7" s="10">
        <f>Assumptions!B7</f>
        <v>0.03165746498637466</v>
      </c>
      <c r="F7" s="10">
        <f>Assumptions!B7</f>
        <v>0.03165746498637466</v>
      </c>
    </row>
    <row r="8" spans="1:6" x14ac:dyDescent="0.25">
      <c r="A8" t="s">
        <v>44</v>
      </c>
      <c r="B8" s="18">
        <f>B6*B7</f>
        <v>2349478145.3084316</v>
      </c>
      <c r="C8" s="18">
        <f>C6*C7</f>
        <v>2172295144.481968</v>
      </c>
      <c r="D8" s="18">
        <f>D6*D7</f>
        <v>2008474181.4529445</v>
      </c>
      <c r="E8" s="18">
        <f>E6*E7</f>
        <v>1857007574.5968974</v>
      </c>
      <c r="F8" s="18">
        <f>F6*F7</f>
        <v>1716963635.3580596</v>
      </c>
    </row>
    <row r="9" spans="1:6" x14ac:dyDescent="0.25">
      <c r="A9" t="s">
        <v>45</v>
      </c>
      <c r="B9" s="18">
        <f>B8*(1-Assumptions!B8)</f>
        <v>1928102014.2667038</v>
      </c>
      <c r="C9" s="18">
        <f>C8*(1-Assumptions!B8)</f>
        <v>1782696575.4165902</v>
      </c>
      <c r="D9" s="18">
        <f>D8*(1-Assumptions!B8)</f>
        <v>1648256708.663156</v>
      </c>
      <c r="E9" s="18">
        <f>E8*(1-Assumptions!B8)</f>
        <v>1523955458.8913906</v>
      </c>
      <c r="F9" s="18">
        <f>F8*(1-Assumptions!B8)</f>
        <v>1409028234.7878442</v>
      </c>
    </row>
    <row r="10" spans="1:6" x14ac:dyDescent="0.25">
      <c r="A10" t="s">
        <v>46</v>
      </c>
      <c r="B10" s="18">
        <f>B6*Assumptions!B9</f>
        <v>917483510.9113697</v>
      </c>
      <c r="C10" s="18">
        <f>C6*Assumptions!B9</f>
        <v>848292621.8636509</v>
      </c>
      <c r="D10" s="18">
        <f>D6*Assumptions!B9</f>
        <v>784319678.5013627</v>
      </c>
      <c r="E10" s="18">
        <f>E6*Assumptions!B9</f>
        <v>725171175.8768042</v>
      </c>
      <c r="F10" s="18">
        <f>F6*Assumptions!B9</f>
        <v>670483284.733284</v>
      </c>
    </row>
    <row r="11" spans="1:6" x14ac:dyDescent="0.25">
      <c r="A11" t="s">
        <v>47</v>
      </c>
      <c r="B11" s="18">
        <f>-B6*Assumptions!B10</f>
        <v>-1163599375.7103384</v>
      </c>
      <c r="C11" s="18">
        <f>-C6*Assumptions!B10</f>
        <v>-1075847961.8230252</v>
      </c>
      <c r="D11" s="18">
        <f>-D6*Assumptions!B10</f>
        <v>-994714212.7436891</v>
      </c>
      <c r="E11" s="18">
        <f>-E6*Assumptions!B10</f>
        <v>-919699065.4308279</v>
      </c>
      <c r="F11" s="18">
        <f>-F6*Assumptions!B10</f>
        <v>-850341093.0675924</v>
      </c>
    </row>
    <row r="12" spans="1:6" x14ac:dyDescent="0.25">
      <c r="A12" t="s">
        <v>48</v>
      </c>
      <c r="B12" s="18">
        <f>-(B6-Assumptions!B29)*Assumptions!B11</f>
        <v>-212079062.74290302</v>
      </c>
      <c r="C12" s="18">
        <f>-(C6-B6)*Assumptions!B11</f>
        <v>-196085381.4123116</v>
      </c>
      <c r="D12" s="18">
        <f>-(D6-C6)*Assumptions!B11</f>
        <v>-181297843.8622342</v>
      </c>
      <c r="E12" s="18">
        <f>-(E6-D6)*Assumptions!B11</f>
        <v>-167625490.24489</v>
      </c>
      <c r="F12" s="18">
        <f>-(F6-E6)*Assumptions!B11</f>
        <v>-154984220.33739853</v>
      </c>
    </row>
    <row r="13" spans="1:6" x14ac:dyDescent="0.25">
      <c r="A13" s="19" t="s">
        <v>49</v>
      </c>
      <c r="B13" s="20">
        <f>B9+B10+B11+B12</f>
        <v>1469907086.724832</v>
      </c>
      <c r="C13" s="20">
        <f>C9+C10+C11+C12</f>
        <v>1359055854.0449042</v>
      </c>
      <c r="D13" s="20">
        <f>D9+D10+D11+D12</f>
        <v>1256564330.5585957</v>
      </c>
      <c r="E13" s="20">
        <f>E9+E10+E11+E12</f>
        <v>1161802079.0924768</v>
      </c>
      <c r="F13" s="20">
        <f>F9+F10+F11+F12</f>
        <v>1074186206.1161373</v>
      </c>
    </row>
    <row r="14" spans="1:6" x14ac:dyDescent="0.25">
      <c r="A14" t="s">
        <v>50</v>
      </c>
      <c r="B14" s="21">
        <f>1/(1+Assumptions!$B$26)^(1-0.5*Assumptions!$B$32)</f>
        <v>0.9612029408854226</v>
      </c>
      <c r="C14" s="21">
        <f>1/(1+Assumptions!$B$26)^(2-0.5*Assumptions!$B$32)</f>
        <v>0.8880660602530605</v>
      </c>
      <c r="D14" s="21">
        <f>1/(1+Assumptions!$B$26)^(3-0.5*Assumptions!$B$32)</f>
        <v>0.8204940848879514</v>
      </c>
      <c r="E14" s="21">
        <f>1/(1+Assumptions!$B$26)^(4-0.5*Assumptions!$B$32)</f>
        <v>0.7580635872339057</v>
      </c>
      <c r="F14" s="21">
        <f>1/(1+Assumptions!$B$26)^(5-0.5*Assumptions!$B$32)</f>
        <v>0.7003833578744376</v>
      </c>
    </row>
    <row r="15" spans="1:6" x14ac:dyDescent="0.25">
      <c r="A15" s="19" t="s">
        <v>51</v>
      </c>
      <c r="B15" s="20">
        <f>B13*B14</f>
        <v>1412879014.5882325</v>
      </c>
      <c r="C15" s="20">
        <f>C13*C14</f>
        <v>1206931377.9655166</v>
      </c>
      <c r="D15" s="20">
        <f>D13*D14</f>
        <v>1031003600.5045162</v>
      </c>
      <c r="E15" s="20">
        <f>E13*E14</f>
        <v>880719851.7326528</v>
      </c>
      <c r="F15" s="20">
        <f>F13*F14</f>
        <v>752342142.022023</v>
      </c>
    </row>
    <row r="17" spans="1:2" x14ac:dyDescent="0.25">
      <c r="A17" s="22" t="s">
        <v>52</v>
      </c>
      <c r="B17" s="23">
        <f>SUM(B15:F15)</f>
        <v>5283875986.812942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1074186206.1161373</v>
      </c>
    </row>
    <row r="5" spans="1:2" x14ac:dyDescent="0.25">
      <c r="A5" t="s">
        <v>56</v>
      </c>
      <c r="B5" s="18">
        <f>IF(Assumptions!$B$33=0,B4,B4-Forecast!F11-Forecast!F10-Forecast!F12)</f>
        <v>1531508240.1795816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0.30356300835316974</v>
      </c>
    </row>
    <row r="7" spans="1:2" x14ac:dyDescent="0.25">
      <c r="A7" t="s">
        <v>58</v>
      </c>
      <c r="B7" s="18">
        <f>-MAX(Forecast!F9,0)*B6</f>
        <v>-464909248.7065826</v>
      </c>
    </row>
    <row r="8" spans="1:2" x14ac:dyDescent="0.25">
      <c r="A8" t="s">
        <v>59</v>
      </c>
      <c r="B8" s="18">
        <f>IF(OR(Assumptions!$B$33=0,Assumptions!B12&lt;=0),B5,MAX(B5+B7,0))</f>
        <v>1066598991.4729991</v>
      </c>
    </row>
    <row r="9" spans="1:2" x14ac:dyDescent="0.25">
      <c r="A9" t="s">
        <v>60</v>
      </c>
      <c r="B9" s="18">
        <f>B8*(1+Assumptions!B12)/(Assumptions!B26-Assumptions!B12)</f>
        <v>19061279196.969887</v>
      </c>
    </row>
    <row r="10" spans="1:2" x14ac:dyDescent="0.25">
      <c r="A10" t="s">
        <v>61</v>
      </c>
      <c r="B10" s="18">
        <f>B9/(1+Assumptions!B26)^(5-0.5*Assumptions!B32)</f>
        <v>13350202729.355932</v>
      </c>
    </row>
    <row r="11" spans="1:2" x14ac:dyDescent="0.25">
      <c r="A11" t="s">
        <v>62</v>
      </c>
      <c r="B11" s="18">
        <f>Forecast!B17+B10</f>
        <v>18634078716.168873</v>
      </c>
    </row>
    <row r="12" spans="1:2" x14ac:dyDescent="0.25">
      <c r="A12" t="s">
        <v>63</v>
      </c>
      <c r="B12" s="18">
        <f>-Assumptions!B30</f>
        <v>-8711000000</v>
      </c>
    </row>
    <row r="13" spans="1:2" x14ac:dyDescent="0.25">
      <c r="A13" t="s">
        <v>64</v>
      </c>
      <c r="B13" s="18">
        <f>B11+B12</f>
        <v>9923078716.168873</v>
      </c>
    </row>
    <row r="14" spans="1:2" x14ac:dyDescent="0.25">
      <c r="A14" s="19" t="s">
        <v>65</v>
      </c>
      <c r="B14" s="24">
        <f>B13/Assumptions!B31</f>
        <v>20.502228752415025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2387446920.091344</v>
      </c>
    </row>
    <row r="18" spans="1:2" x14ac:dyDescent="0.25">
      <c r="A18" t="s">
        <v>60</v>
      </c>
      <c r="B18" s="18">
        <f>B17*Assumptions!B13</f>
        <v>45608318820.7617</v>
      </c>
    </row>
    <row r="19" spans="1:2" x14ac:dyDescent="0.25">
      <c r="A19" t="s">
        <v>61</v>
      </c>
      <c r="B19" s="18">
        <f>B18/(1+Assumptions!B26)^(5-0.5*Assumptions!B32)</f>
        <v>31943307482.692993</v>
      </c>
    </row>
    <row r="20" spans="1:2" x14ac:dyDescent="0.25">
      <c r="A20" t="s">
        <v>62</v>
      </c>
      <c r="B20" s="18">
        <f>Forecast!B17+B19</f>
        <v>37227183469.505936</v>
      </c>
    </row>
    <row r="21" spans="1:2" x14ac:dyDescent="0.25">
      <c r="A21" t="s">
        <v>63</v>
      </c>
      <c r="B21" s="18">
        <f>-Assumptions!B30</f>
        <v>-8711000000</v>
      </c>
    </row>
    <row r="22" spans="1:2" x14ac:dyDescent="0.25">
      <c r="A22" t="s">
        <v>64</v>
      </c>
      <c r="B22" s="18">
        <f>B20+B21</f>
        <v>28516183469.505936</v>
      </c>
    </row>
    <row r="23" spans="1:2" x14ac:dyDescent="0.25">
      <c r="A23" s="19" t="s">
        <v>65</v>
      </c>
      <c r="B23" s="25">
        <f>B22/Assumptions!B31</f>
        <v>58.91773444112797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85.18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20.502228752415025</v>
      </c>
    </row>
    <row r="29" spans="1:2" x14ac:dyDescent="0.25">
      <c r="A29" s="19" t="s">
        <v>73</v>
      </c>
      <c r="B29" s="12">
        <f>B28/B26-1</f>
        <v>-0.7593070115940945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0.062355</v>
      </c>
      <c r="B5" s="31">
        <v>35.043221964110344</v>
      </c>
      <c r="C5" s="31">
        <v>36.44785988474486</v>
      </c>
      <c r="D5" s="31">
        <v>38.186909141635866</v>
      </c>
      <c r="E5" s="31">
        <v>40.41540512479565</v>
      </c>
      <c r="F5" s="31">
        <v>43.40173390236644</v>
      </c>
    </row>
    <row r="6" spans="1:6" x14ac:dyDescent="0.25">
      <c r="A6" s="30">
        <v>0.072355</v>
      </c>
      <c r="B6" s="31">
        <v>26.124845145430193</v>
      </c>
      <c r="C6" s="31">
        <v>26.54914913258111</v>
      </c>
      <c r="D6" s="31">
        <v>27.031583625537856</v>
      </c>
      <c r="E6" s="31">
        <v>27.592735511021914</v>
      </c>
      <c r="F6" s="31">
        <v>28.26421396820363</v>
      </c>
    </row>
    <row r="7" spans="1:6" x14ac:dyDescent="0.25">
      <c r="A7" s="30">
        <v>0.082355</v>
      </c>
      <c r="B7" s="31">
        <v>20.233231058872548</v>
      </c>
      <c r="C7" s="31">
        <v>20.36778308261732</v>
      </c>
      <c r="D7" s="32">
        <v>20.50233510636209</v>
      </c>
      <c r="E7" s="31">
        <v>20.636887130106857</v>
      </c>
      <c r="F7" s="31">
        <v>20.771439153851627</v>
      </c>
    </row>
    <row r="8" spans="1:6" x14ac:dyDescent="0.25">
      <c r="A8" s="30">
        <v>0.092355</v>
      </c>
      <c r="B8" s="31">
        <v>16.071666906135796</v>
      </c>
      <c r="C8" s="31">
        <v>16.186785761792216</v>
      </c>
      <c r="D8" s="31">
        <v>16.301904617448635</v>
      </c>
      <c r="E8" s="31">
        <v>16.417023473105044</v>
      </c>
      <c r="F8" s="31">
        <v>16.532142328761456</v>
      </c>
    </row>
    <row r="9" spans="1:6" x14ac:dyDescent="0.25">
      <c r="A9" s="30">
        <v>0.102355</v>
      </c>
      <c r="B9" s="31">
        <v>12.732590742668853</v>
      </c>
      <c r="C9" s="31">
        <v>12.832289162405786</v>
      </c>
      <c r="D9" s="31">
        <v>12.931987582142703</v>
      </c>
      <c r="E9" s="31">
        <v>13.031686001879637</v>
      </c>
      <c r="F9" s="31">
        <v>13.131384421616563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80269000000</v>
      </c>
      <c r="C5" s="18">
        <v>85530000000</v>
      </c>
      <c r="D5" s="18">
        <v>93935000000</v>
      </c>
      <c r="E5" s="18">
        <v>101556000000</v>
      </c>
      <c r="F5" s="8" t="s">
        <v>84</v>
      </c>
    </row>
    <row r="6" spans="1:6" x14ac:dyDescent="0.25">
      <c r="A6" t="s">
        <v>44</v>
      </c>
      <c r="B6" s="18">
        <v>1424000000</v>
      </c>
      <c r="C6" s="18">
        <v>2072000000</v>
      </c>
      <c r="D6" s="18">
        <v>4057000000</v>
      </c>
      <c r="E6" s="18">
        <v>4212000000</v>
      </c>
      <c r="F6" s="8" t="s">
        <v>85</v>
      </c>
    </row>
    <row r="7" spans="1:6" x14ac:dyDescent="0.25">
      <c r="A7" t="s">
        <v>86</v>
      </c>
      <c r="B7" s="18">
        <v>1181000000</v>
      </c>
      <c r="C7" s="18">
        <v>1141000000</v>
      </c>
      <c r="D7" s="18">
        <v>1059000000</v>
      </c>
      <c r="E7" s="18">
        <v>1028000000</v>
      </c>
      <c r="F7" s="8" t="s">
        <v>87</v>
      </c>
    </row>
    <row r="8" spans="1:6" x14ac:dyDescent="0.25">
      <c r="A8" t="s">
        <v>88</v>
      </c>
      <c r="B8" s="18">
        <v>1248000000</v>
      </c>
      <c r="C8" s="18">
        <v>1563000000</v>
      </c>
      <c r="D8" s="18">
        <v>1494000000</v>
      </c>
      <c r="E8" s="18">
        <v>1319000000</v>
      </c>
      <c r="F8" s="8" t="s">
        <v>89</v>
      </c>
    </row>
    <row r="9" spans="1:6" x14ac:dyDescent="0.25">
      <c r="A9" t="s">
        <v>90</v>
      </c>
      <c r="B9" s="18">
        <v>-2763000000</v>
      </c>
      <c r="C9" s="18">
        <v>492000000</v>
      </c>
      <c r="D9" s="18">
        <v>267000000</v>
      </c>
      <c r="E9" s="18">
        <v>1532000000</v>
      </c>
      <c r="F9" s="8" t="s">
        <v>91</v>
      </c>
    </row>
    <row r="10" spans="1:6" x14ac:dyDescent="0.25">
      <c r="A10" t="s">
        <v>92</v>
      </c>
      <c r="B10" s="18">
        <v>9758000000</v>
      </c>
      <c r="C10" s="18">
        <v>11538000000</v>
      </c>
      <c r="D10" s="18">
        <v>9596000000</v>
      </c>
      <c r="E10" s="18">
        <v>10288000000</v>
      </c>
      <c r="F10" s="8" t="s">
        <v>93</v>
      </c>
    </row>
    <row r="11" spans="1:6" x14ac:dyDescent="0.25">
      <c r="A11" t="s">
        <v>94</v>
      </c>
      <c r="B11" s="18">
        <v>1047000000</v>
      </c>
      <c r="C11" s="18">
        <v>857000000</v>
      </c>
      <c r="D11" s="18">
        <v>1368000000</v>
      </c>
      <c r="E11" s="18">
        <v>1037000000</v>
      </c>
      <c r="F11" s="8" t="s">
        <v>95</v>
      </c>
    </row>
    <row r="12" spans="1:6" x14ac:dyDescent="0.25">
      <c r="A12" t="s">
        <v>32</v>
      </c>
      <c r="B12" s="34">
        <v>484000000</v>
      </c>
      <c r="C12" s="34">
        <v>493000000</v>
      </c>
      <c r="D12" s="34">
        <v>542000000</v>
      </c>
      <c r="E12" s="34">
        <v>563000000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2026-09-19T00:06:22Z</dcterms:modified>
</cp:coreProperties>
</file>