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<sst xmlns="http://schemas.openxmlformats.org/spreadsheetml/2006/main" count="120" uniqueCount="107">
  <si>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Archer-Daniels-Midland Company (ADM)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</si>
  <si>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</si>
  <si>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</si>
  <si>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</si>
  <si>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</si>
  <si>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</si>
  <si>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</si>
  <si>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</si>
  <si>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</si>
  <si>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</si>
  <si>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</si>
  <si>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</si>
  <si>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</si>
  <si>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</si>
  <si>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</si>
  <si>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</si>
  <si>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</si>
  <si>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</si>
  <si>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</si>
  <si>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</si>
  <si>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</si>
  <si>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</si>
  <si>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</si>
  <si>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</si>
  <si>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+ 138bp, the spread for a BB+ rating at 2.3x interest cover. Book interest / average debt was lower, at 5.7%.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</si>
  <si>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</si>
  <si>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</si>
  <si>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</si>
  <si>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</si>
  <si>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</si>
  <si>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</si>
  <si>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</si>
  <si>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</si>
  <si>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</si>
  <si>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</si>
  <si>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</si>
  <si>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</si>
  <si>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</si>
  <si>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</si>
  <si>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</si>
  <si>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</si>
  <si>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</si>
  <si>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</si>
  <si>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</si>
  <si>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</si>
  <si>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</si>
  <si>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</si>
  <si>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</si>
  <si>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</si>
  <si>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</si>
  <si>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</si>
  <si>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</si>
  <si>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</si>
  <si>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</si>
  <si>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</si>
  <si>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</si>
  <si>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</si>
  <si>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</si>
  <si>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</si>
  <si>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</si>
  <si>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</si>
  <si>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</si>
  <si>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</si>
  <si>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</si>
  <si>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</si>
  <si>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</si>
  <si>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</si>
  <si>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</si>
  <si>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</si>
  <si>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</si>
  <si>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</si>
  <si>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</si>
  <si>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</si>
  <si>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</si>
  <si>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</si>
  <si>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</si>
  <si>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</si>
  <si>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</si>
  <si>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</si>
  <si>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</si>
  <si>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</si>
  <si>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</si>
  <si>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</si>
  <si>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</si>
  <si>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</si>
  <si>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</si>
  <si>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</si>
  <si>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</si>
  <si>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</si>
  <si>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</si>
  <si>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</si>
  <si>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</si>
  <si>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</si>
  <si>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</si>
  <si>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</si>
  <si>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</si>
  <si>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</si>
  <si>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</si>
  <si>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</si>
  <si>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</si>
  <si>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</si>
  <si>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</si>
  <si>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</si>
  <si>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</si>
  <si>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</si>
  <si>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1.6% of revenue against depreciation of 1.2%.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</si>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</sst>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0.081762895762997</v>
      </c>
    </row>
    <row r="7" spans="1:2" x14ac:dyDescent="0.25">
      <c r="A7" t="s">
        <v>4</v>
      </c>
      <c r="B7" s="5">
        <v>0.03165746498637466</v>
      </c>
    </row>
    <row r="8" spans="1:2" x14ac:dyDescent="0.25">
      <c r="A8" t="s">
        <v>5</v>
      </c>
      <c r="B8" s="5">
        <v>0.17934881917635842</v>
      </c>
    </row>
    <row r="9" spans="1:2" x14ac:dyDescent="0.25">
      <c r="A9" t="s">
        <v>6</v>
      </c>
      <c r="B9" s="5">
        <v>0.012362405745400037</v>
      </c>
    </row>
    <row r="10" spans="1:3" x14ac:dyDescent="0.25">
      <c r="A10" t="s">
        <v>7</v>
      </c>
      <c r="B10" s="5">
        <v>0.01567863338855687</v>
      </c>
      <c r="C10" s="6" t="s">
        <v>8</v>
      </c>
    </row>
    <row r="11" spans="1:2" x14ac:dyDescent="0.25">
      <c r="A11" t="s">
        <v>9</v>
      </c>
      <c r="B11" s="5">
        <v>0.12023382382091156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17.36240937274472</v>
      </c>
    </row>
    <row r="14" spans="1:3" x14ac:dyDescent="0.25">
      <c r="A14" t="s">
        <v>12</v>
      </c>
      <c r="B14" s="5">
        <v>0.07752744543728267</v>
      </c>
      <c r="C14" s="6" t="s">
        <v>13</v>
      </c>
    </row>
    <row r="15" spans="1:3" x14ac:dyDescent="0.25">
      <c r="A15" t="s">
        <v>14</v>
      </c>
      <c r="B15" s="5">
        <v>0.009610575521924257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0.74205</v>
      </c>
      <c r="C19" s="6" t="s">
        <v>21</v>
      </c>
    </row>
    <row r="20" spans="1:2" x14ac:dyDescent="0.25">
      <c r="A20" t="s">
        <v>22</v>
      </c>
      <c r="B20" s="9">
        <f>B17+B19*B18</f>
        <v>0.080328715</v>
      </c>
    </row>
    <row r="21" spans="1:3" x14ac:dyDescent="0.25">
      <c r="A21" t="s">
        <v>23</v>
      </c>
      <c r="B21" s="5">
        <v>0.06274</v>
      </c>
      <c r="C21" s="6" t="s">
        <v>24</v>
      </c>
    </row>
    <row r="22" spans="1:2" x14ac:dyDescent="0.25">
      <c r="A22" t="s">
        <v>25</v>
      </c>
      <c r="B22" s="10">
        <v>36518076416</v>
      </c>
    </row>
    <row r="23" spans="1:2" x14ac:dyDescent="0.25">
      <c r="A23" t="s">
        <v>26</v>
      </c>
      <c r="B23" s="10">
        <v>9758000000</v>
      </c>
    </row>
    <row r="24" spans="1:2" x14ac:dyDescent="0.25">
      <c r="A24" t="s">
        <v>27</v>
      </c>
      <c r="B24" s="9">
        <f>B22/(B22+B23)</f>
        <v>0.7891351048805391</v>
      </c>
    </row>
    <row r="25" spans="1:2" x14ac:dyDescent="0.25">
      <c r="A25" t="s">
        <v>28</v>
      </c>
      <c r="B25" s="9">
        <f>1-B24</f>
        <v>0.21086489511946094</v>
      </c>
    </row>
    <row r="26" spans="1:2" x14ac:dyDescent="0.25">
      <c r="A26" t="s">
        <v>29</v>
      </c>
      <c r="B26" s="11">
        <f>B24*B20+B25*B21*(1-B8)</f>
        <v>0.07424714792586314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80269000000</v>
      </c>
      <c r="C29" s="6" t="s">
        <v>32</v>
      </c>
    </row>
    <row r="30" spans="1:2" x14ac:dyDescent="0.25">
      <c r="A30" t="s">
        <v>33</v>
      </c>
      <c r="B30" s="10">
        <v>8711000000</v>
      </c>
    </row>
    <row r="31" spans="1:2" x14ac:dyDescent="0.25">
      <c r="A31" t="s">
        <v>34</v>
      </c>
      <c r="B31" s="12">
        <v>484000000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0.081762895762997</v>
      </c>
      <c r="C5" s="5">
        <v>0.0506809885569377</v>
      </c>
      <c r="D5" s="5">
        <v>0.04747086498732049</v>
      </c>
      <c r="E5" s="5">
        <v>0.044260741417703274</v>
      </c>
      <c r="F5" s="5">
        <v>0.041050617848086064</v>
      </c>
      <c r="G5" s="5">
        <v>0.03784049427846885</v>
      </c>
      <c r="H5" s="5">
        <v>0.03463037070885164</v>
      </c>
      <c r="I5" s="5">
        <v>0.03142024713923443</v>
      </c>
      <c r="J5" s="5">
        <v>0.028210123569617215</v>
      </c>
      <c r="K5" s="5">
        <v>0.025</v>
      </c>
    </row>
    <row r="6" spans="1:11" x14ac:dyDescent="0.25">
      <c r="A6" t="s">
        <v>50</v>
      </c>
      <c r="B6" s="18">
        <f>Assumptions!B29*(1+B5)</f>
        <v>86832025880</v>
      </c>
      <c r="C6" s="18">
        <f>B6*(1+C5)</f>
        <v>91232758790</v>
      </c>
      <c r="D6" s="18">
        <f>C6*(1+D5)</f>
        <v>95563656764.94087</v>
      </c>
      <c r="E6" s="18">
        <f>D6*(1+E5)</f>
        <v>99793375065.94406</v>
      </c>
      <c r="F6" s="18">
        <f>E6*(1+F5)</f>
        <v>103889954769.54684</v>
      </c>
      <c r="G6" s="18">
        <f>F6*(1+G5)</f>
        <v>107821202008.59427</v>
      </c>
      <c r="H6" s="18">
        <f>G6*(1+H5)</f>
        <v>111555090204.42586</v>
      </c>
      <c r="I6" s="18">
        <f>H6*(1+I5)</f>
        <v>115060178708.28851</v>
      </c>
      <c r="J6" s="18">
        <f>I6*(1+J5)</f>
        <v>118306040567.59158</v>
      </c>
      <c r="K6" s="18">
        <f>J6*(1+K5)</f>
        <v>121263691581.78136</v>
      </c>
    </row>
    <row r="7" spans="1:11" x14ac:dyDescent="0.25">
      <c r="A7" t="s">
        <v>4</v>
      </c>
      <c r="B7" s="9">
        <f>Assumptions!B7</f>
        <v>0.03165746498637466</v>
      </c>
      <c r="C7" s="9">
        <f>Assumptions!B7</f>
        <v>0.03165746498637466</v>
      </c>
      <c r="D7" s="9">
        <f>Assumptions!B7</f>
        <v>0.03165746498637466</v>
      </c>
      <c r="E7" s="9">
        <f>Assumptions!B7</f>
        <v>0.03165746498637466</v>
      </c>
      <c r="F7" s="9">
        <f>Assumptions!B7</f>
        <v>0.03165746498637466</v>
      </c>
      <c r="G7" s="9">
        <f>Assumptions!B7</f>
        <v>0.03165746498637466</v>
      </c>
      <c r="H7" s="9">
        <f>Assumptions!B7</f>
        <v>0.03165746498637466</v>
      </c>
      <c r="I7" s="9">
        <f>Assumptions!B7</f>
        <v>0.03165746498637466</v>
      </c>
      <c r="J7" s="9">
        <f>Assumptions!B7</f>
        <v>0.03165746498637466</v>
      </c>
      <c r="K7" s="9">
        <f>Assumptions!B7</f>
        <v>0.03165746498637466</v>
      </c>
    </row>
    <row r="8" spans="1:11" x14ac:dyDescent="0.25">
      <c r="A8" t="s">
        <v>51</v>
      </c>
      <c r="B8" s="18">
        <f>B6*B7</f>
        <v>2748881818.9920783</v>
      </c>
      <c r="C8" s="18">
        <f>C6*C7</f>
        <v>2888197867.00479</v>
      </c>
      <c r="D8" s="18">
        <f>D6*D7</f>
        <v>3025303118.0060415</v>
      </c>
      <c r="E8" s="18">
        <f>E6*E7</f>
        <v>3159205277.022278</v>
      </c>
      <c r="F8" s="18">
        <f>F6*F7</f>
        <v>3288892605.552976</v>
      </c>
      <c r="G8" s="18">
        <f>G6*G7</f>
        <v>3413345927.375902</v>
      </c>
      <c r="H8" s="18">
        <f>H6*H7</f>
        <v>3531551362.198478</v>
      </c>
      <c r="I8" s="18">
        <f>I6*I7</f>
        <v>3642513578.7836547</v>
      </c>
      <c r="J8" s="18">
        <f>J6*J7</f>
        <v>3745269336.9451504</v>
      </c>
      <c r="K8" s="18">
        <f>K6*K7</f>
        <v>3838901070.3687787</v>
      </c>
    </row>
    <row r="9" spans="1:11" x14ac:dyDescent="0.25">
      <c r="A9" t="s">
        <v>52</v>
      </c>
      <c r="B9" s="18">
        <f>B8*(1-Assumptions!B8)</f>
        <v>2255873110.700489</v>
      </c>
      <c r="C9" s="18">
        <f>C8*(1-Assumptions!B8)</f>
        <v>2370202990.009804</v>
      </c>
      <c r="D9" s="18">
        <f>D8*(1-Assumptions!B8)</f>
        <v>2482718576.141103</v>
      </c>
      <c r="E9" s="18">
        <f>E8*(1-Assumptions!B8)</f>
        <v>2592605541.0526123</v>
      </c>
      <c r="F9" s="18">
        <f>F8*(1-Assumptions!B8)</f>
        <v>2699033600.349193</v>
      </c>
      <c r="G9" s="18">
        <f>G8*(1-Assumptions!B8)</f>
        <v>2801166365.8606024</v>
      </c>
      <c r="H9" s="18">
        <f>H8*(1-Assumptions!B8)</f>
        <v>2898171795.527521</v>
      </c>
      <c r="I9" s="18">
        <f>I8*(1-Assumptions!B8)</f>
        <v>2989233069.594955</v>
      </c>
      <c r="J9" s="18">
        <f>J8*(1-Assumptions!B8)</f>
        <v>3073559703.866615</v>
      </c>
      <c r="K9" s="18">
        <f>K8*(1-Assumptions!B8)</f>
        <v>3150398696.46328</v>
      </c>
    </row>
    <row r="10" spans="1:11" x14ac:dyDescent="0.25">
      <c r="A10" t="s">
        <v>53</v>
      </c>
      <c r="B10" s="18">
        <f>B6*Assumptions!B9</f>
        <v>1073452735.6236367</v>
      </c>
      <c r="C10" s="18">
        <f>C6*Assumptions!B9</f>
        <v>1127856381.4341917</v>
      </c>
      <c r="D10" s="18">
        <f>D6*Assumptions!B9</f>
        <v>1181396699.442342</v>
      </c>
      <c r="E10" s="18">
        <f>E6*Assumptions!B9</f>
        <v>1233686193.2680876</v>
      </c>
      <c r="F10" s="18">
        <f>F6*Assumptions!B9</f>
        <v>1284329773.732396</v>
      </c>
      <c r="G10" s="18">
        <f>G6*Assumptions!B9</f>
        <v>1332929447.1869838</v>
      </c>
      <c r="H10" s="18">
        <f>H6*Assumptions!B9</f>
        <v>1379089288.0718136</v>
      </c>
      <c r="I10" s="18">
        <f>I6*Assumptions!B9</f>
        <v>1422420614.330101</v>
      </c>
      <c r="J10" s="18">
        <f>J6*Assumptions!B9</f>
        <v>1462547275.628324</v>
      </c>
      <c r="K10" s="18">
        <f>K6*Assumptions!B9</f>
        <v>1499110957.519032</v>
      </c>
    </row>
    <row r="11" spans="1:11" x14ac:dyDescent="0.25">
      <c r="A11" t="s">
        <v>54</v>
      </c>
      <c r="B11" s="18">
        <f>-B6*B19</f>
        <v>-1361407500.1582024</v>
      </c>
      <c r="C11" s="18">
        <f>-C6*C19</f>
        <v>-1461198659.445954</v>
      </c>
      <c r="D11" s="18">
        <f>-D6*D19</f>
        <v>-1562818507.7689428</v>
      </c>
      <c r="E11" s="18">
        <f>-E6*E19</f>
        <v>-1665673149.3033123</v>
      </c>
      <c r="F11" s="18">
        <f>-F6*F19</f>
        <v>-1769115910.4250805</v>
      </c>
      <c r="G11" s="18">
        <f>-G6*G19</f>
        <v>-1872452889.1877656</v>
      </c>
      <c r="H11" s="18">
        <f>-H6*H19</f>
        <v>-1974949679.8617206</v>
      </c>
      <c r="I11" s="18">
        <f>-I6*I19</f>
        <v>-2075839208.1074338</v>
      </c>
      <c r="J11" s="18">
        <f>-J6*J19</f>
        <v>-2174330581.6742005</v>
      </c>
      <c r="K11" s="18">
        <f>-K6*K19</f>
        <v>-2269618831.5363398</v>
      </c>
    </row>
    <row r="12" spans="1:11" x14ac:dyDescent="0.25">
      <c r="A12" t="s">
        <v>55</v>
      </c>
      <c r="B12" s="18">
        <f>-(B6-Assumptions!B29)*Assumptions!B11</f>
        <v>-789097697.3880031</v>
      </c>
      <c r="C12" s="18">
        <f>-(C6-B6)*Assumptions!B11</f>
        <v>-529116945.38382745</v>
      </c>
      <c r="D12" s="18">
        <f>-(D6-C6)*Assumptions!B11</f>
        <v>-520720424.1053835</v>
      </c>
      <c r="E12" s="18">
        <f>-(E6-D6)*Assumptions!B11</f>
        <v>-508555205.01490283</v>
      </c>
      <c r="F12" s="18">
        <f>-(F6-E6)*Assumptions!B11</f>
        <v>-492547442.35129917</v>
      </c>
      <c r="G12" s="18">
        <f>-(G6-F6)*Assumptions!B11</f>
        <v>-472668887.936073</v>
      </c>
      <c r="H12" s="18">
        <f>-(H6-G6)*Assumptions!B11</f>
        <v>-448939655.5045966</v>
      </c>
      <c r="I12" s="18">
        <f>-(I6-H6)*Assumptions!B11</f>
        <v>-421430193.650125</v>
      </c>
      <c r="J12" s="18">
        <f>-(J6-I6)*Assumptions!B11</f>
        <v>-390262382.9384618</v>
      </c>
      <c r="K12" s="18">
        <f>-(K6-J6)*Assumptions!B11</f>
        <v>-355609690.96383363</v>
      </c>
    </row>
    <row r="13" spans="1:11" x14ac:dyDescent="0.25">
      <c r="A13" s="19" t="s">
        <v>56</v>
      </c>
      <c r="B13" s="20">
        <f>B9+B10+B11+B12</f>
        <v>1178820648.7779202</v>
      </c>
      <c r="C13" s="20">
        <f>C9+C10+C11+C12</f>
        <v>1507743766.614214</v>
      </c>
      <c r="D13" s="20">
        <f>D9+D10+D11+D12</f>
        <v>1580576343.7091184</v>
      </c>
      <c r="E13" s="20">
        <f>E9+E10+E11+E12</f>
        <v>1652063380.0024846</v>
      </c>
      <c r="F13" s="20">
        <f>F9+F10+F11+F12</f>
        <v>1721700021.3052092</v>
      </c>
      <c r="G13" s="20">
        <f>G9+G10+G11+G12</f>
        <v>1788974035.9237478</v>
      </c>
      <c r="H13" s="20">
        <f>H9+H10+H11+H12</f>
        <v>1853371748.2330174</v>
      </c>
      <c r="I13" s="20">
        <f>I9+I10+I11+I12</f>
        <v>1914384282.1674976</v>
      </c>
      <c r="J13" s="20">
        <f>J9+J10+J11+J12</f>
        <v>1971514014.8822765</v>
      </c>
      <c r="K13" s="20">
        <f>K9+K10+K11+K12</f>
        <v>2024281131.4821389</v>
      </c>
    </row>
    <row r="14" spans="1:11" x14ac:dyDescent="0.25">
      <c r="A14" t="s">
        <v>57</v>
      </c>
      <c r="B14" s="21">
        <f>1/(1+Assumptions!$B$26)^(1-0.5*Assumptions!$B$32)</f>
        <v>0.9648235497497901</v>
      </c>
      <c r="C14" s="21">
        <f>1/(1+Assumptions!$B$26)^(2-0.5*Assumptions!$B$32)</f>
        <v>0.8981392704766813</v>
      </c>
      <c r="D14" s="21">
        <f>1/(1+Assumptions!$B$26)^(3-0.5*Assumptions!$B$32)</f>
        <v>0.8360639096978683</v>
      </c>
      <c r="E14" s="21">
        <f>1/(1+Assumptions!$B$26)^(4-0.5*Assumptions!$B$32)</f>
        <v>0.7782789196248976</v>
      </c>
      <c r="F14" s="21">
        <f>1/(1+Assumptions!$B$26)^(5-0.5*Assumptions!$B$32)</f>
        <v>0.7244877690646742</v>
      </c>
      <c r="G14" s="21">
        <f>1/(1+Assumptions!$B$26)^(6-0.5*Assumptions!$B$32)</f>
        <v>0.6744144217310719</v>
      </c>
      <c r="H14" s="21">
        <f>1/(1+Assumptions!$B$26)^(7-0.5*Assumptions!$B$32)</f>
        <v>0.627801919728825</v>
      </c>
      <c r="I14" s="21">
        <f>1/(1+Assumptions!$B$26)^(8-0.5*Assumptions!$B$32)</f>
        <v>0.5844110649406643</v>
      </c>
      <c r="J14" s="21">
        <f>1/(1+Assumptions!$B$26)^(9-0.5*Assumptions!$B$32)</f>
        <v>0.544019191551064</v>
      </c>
      <c r="K14" s="21">
        <f>1/(1+Assumptions!$B$26)^(10-0.5*Assumptions!$B$32)</f>
        <v>0.5064190234076454</v>
      </c>
    </row>
    <row r="15" spans="1:11" x14ac:dyDescent="0.25">
      <c r="A15" s="19" t="s">
        <v>58</v>
      </c>
      <c r="B15" s="20">
        <f>B13*B14</f>
        <v>1137353922.8722637</v>
      </c>
      <c r="C15" s="20">
        <f>C13*C14</f>
        <v>1354163886.6126537</v>
      </c>
      <c r="D15" s="20">
        <f>D13*D14</f>
        <v>1321462837.4974072</v>
      </c>
      <c r="E15" s="20">
        <f>E13*E14</f>
        <v>1285766102.5401902</v>
      </c>
      <c r="F15" s="20">
        <f>F13*F14</f>
        <v>1247350607.434013</v>
      </c>
      <c r="G15" s="20">
        <f>G13*G14</f>
        <v>1206509889.9294162</v>
      </c>
      <c r="H15" s="20">
        <f>H13*H14</f>
        <v>1163550341.511857</v>
      </c>
      <c r="I15" s="20">
        <f>I13*I14</f>
        <v>1118787357.0471764</v>
      </c>
      <c r="J15" s="20">
        <f>J13*J14</f>
        <v>1072541460.5078485</v>
      </c>
      <c r="K15" s="20">
        <f>K13*K14</f>
        <v>1025134473.7077082</v>
      </c>
    </row>
    <row r="17" spans="1:2" x14ac:dyDescent="0.25">
      <c r="A17" s="22" t="s">
        <v>59</v>
      </c>
      <c r="B17" s="23">
        <f>SUM(B15:K15)</f>
        <v>11932620879.660534</v>
      </c>
    </row>
    <row r="19" spans="1:11" x14ac:dyDescent="0.25">
      <c r="A19" t="s">
        <v>7</v>
      </c>
      <c r="B19" s="9">
        <f>Assumptions!$B$10+($B$20-Assumptions!$B$10)*0/9</f>
        <v>0.01567863338855687</v>
      </c>
      <c r="C19" s="9">
        <f>Assumptions!$B$10+($B$20-Assumptions!$B$10)*1/9</f>
        <v>0.01601616216395854</v>
      </c>
      <c r="D19" s="9">
        <f>Assumptions!$B$10+($B$20-Assumptions!$B$10)*2/9</f>
        <v>0.01635369093936021</v>
      </c>
      <c r="E19" s="9">
        <f>Assumptions!$B$10+($B$20-Assumptions!$B$10)*3/9</f>
        <v>0.016691219714761882</v>
      </c>
      <c r="F19" s="9">
        <f>Assumptions!$B$10+($B$20-Assumptions!$B$10)*4/9</f>
        <v>0.017028748490163552</v>
      </c>
      <c r="G19" s="9">
        <f>Assumptions!$B$10+($B$20-Assumptions!$B$10)*5/9</f>
        <v>0.01736627726556522</v>
      </c>
      <c r="H19" s="9">
        <f>Assumptions!$B$10+($B$20-Assumptions!$B$10)*6/9</f>
        <v>0.01770380604096689</v>
      </c>
      <c r="I19" s="9">
        <f>Assumptions!$B$10+($B$20-Assumptions!$B$10)*7/9</f>
        <v>0.01804133481636856</v>
      </c>
      <c r="J19" s="9">
        <f>Assumptions!$B$10+($B$20-Assumptions!$B$10)*8/9</f>
        <v>0.01837886359177023</v>
      </c>
      <c r="K19" s="9">
        <f>Assumptions!$B$10+($B$20-Assumptions!$B$10)*9/9</f>
        <v>0.0187163923671719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0.0187163923671719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2024281131.4821389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3424247608.644266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0.3224664486104374</v>
      </c>
    </row>
    <row r="7" spans="1:2" x14ac:dyDescent="0.25">
      <c r="A7" t="s">
        <v>66</v>
      </c>
      <c r="B7" s="18">
        <f>-MAX(B5,0)*B6</f>
        <v>-1104204965.5222993</v>
      </c>
    </row>
    <row r="8" spans="1:2" x14ac:dyDescent="0.25">
      <c r="A8" t="s">
        <v>67</v>
      </c>
      <c r="B8" s="18">
        <f>IF(OR(Assumptions!$B$33=0,Assumptions!B12&lt;=0),B5,MAX(B5+B7,0))</f>
        <v>2320042643.121967</v>
      </c>
    </row>
    <row r="9" spans="1:2" x14ac:dyDescent="0.25">
      <c r="A9" t="s">
        <v>68</v>
      </c>
      <c r="B9" s="18">
        <f>B8*(1+Assumptions!B12)/(Assumptions!B26-Assumptions!B12)</f>
        <v>48287947817.40321</v>
      </c>
    </row>
    <row r="10" spans="1:2" x14ac:dyDescent="0.25">
      <c r="A10" t="s">
        <v>69</v>
      </c>
      <c r="B10" s="18">
        <f>B9/(1+Assumptions!B26)^(10-0.5*Assumptions!B32)</f>
        <v>24453935376.04868</v>
      </c>
    </row>
    <row r="11" spans="1:2" x14ac:dyDescent="0.25">
      <c r="A11" t="s">
        <v>70</v>
      </c>
      <c r="B11" s="18">
        <f>Forecast!B17+B10</f>
        <v>36386556255.70921</v>
      </c>
    </row>
    <row r="12" spans="1:2" x14ac:dyDescent="0.25">
      <c r="A12" t="s">
        <v>71</v>
      </c>
      <c r="B12" s="18">
        <f>-Assumptions!B30</f>
        <v>-8711000000</v>
      </c>
    </row>
    <row r="13" spans="1:2" x14ac:dyDescent="0.25">
      <c r="A13" t="s">
        <v>72</v>
      </c>
      <c r="B13" s="18">
        <f>B11+B12</f>
        <v>27675556255.709213</v>
      </c>
    </row>
    <row r="14" spans="1:2" x14ac:dyDescent="0.25">
      <c r="A14" s="19" t="s">
        <v>73</v>
      </c>
      <c r="B14" s="24">
        <f>B13/Assumptions!B31</f>
        <v>57.1809013547711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5338012027.887811</v>
      </c>
    </row>
    <row r="18" spans="1:2" x14ac:dyDescent="0.25">
      <c r="A18" t="s">
        <v>68</v>
      </c>
      <c r="B18" s="18">
        <f>B17*Assumptions!B13</f>
        <v>92680750064.82338</v>
      </c>
    </row>
    <row r="19" spans="1:2" x14ac:dyDescent="0.25">
      <c r="A19" t="s">
        <v>69</v>
      </c>
      <c r="B19" s="18">
        <f>B18/(1+Assumptions!B26)^(10-0.5*Assumptions!B32)</f>
        <v>46935294936.51593</v>
      </c>
    </row>
    <row r="20" spans="1:2" x14ac:dyDescent="0.25">
      <c r="A20" t="s">
        <v>70</v>
      </c>
      <c r="B20" s="18">
        <f>Forecast!B17+B19</f>
        <v>58867915816.17647</v>
      </c>
    </row>
    <row r="21" spans="1:2" x14ac:dyDescent="0.25">
      <c r="A21" t="s">
        <v>71</v>
      </c>
      <c r="B21" s="18">
        <f>-Assumptions!B30</f>
        <v>-8711000000</v>
      </c>
    </row>
    <row r="22" spans="1:2" x14ac:dyDescent="0.25">
      <c r="A22" t="s">
        <v>72</v>
      </c>
      <c r="B22" s="18">
        <f>B20+B21</f>
        <v>50156915816.17647</v>
      </c>
    </row>
    <row r="23" spans="1:2" x14ac:dyDescent="0.25">
      <c r="A23" s="19" t="s">
        <v>73</v>
      </c>
      <c r="B23" s="25">
        <f>B22/Assumptions!B31</f>
        <v>103.62999135573651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75.77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57.1809013547711</v>
      </c>
    </row>
    <row r="29" spans="1:2" x14ac:dyDescent="0.25">
      <c r="A29" s="19" t="s">
        <v>81</v>
      </c>
      <c r="B29" s="11">
        <f>B28/B26-1</f>
        <v>-0.24533586703482768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0.054247</v>
      </c>
      <c r="B5" s="31">
        <v>101.30594793110271</v>
      </c>
      <c r="C5" s="31">
        <v>105.15761278521686</v>
      </c>
      <c r="D5" s="31">
        <v>110.7339440832213</v>
      </c>
      <c r="E5" s="31">
        <v>119.10187780310733</v>
      </c>
      <c r="F5" s="31">
        <v>132.43702761600406</v>
      </c>
    </row>
    <row r="6" spans="1:6" x14ac:dyDescent="0.25">
      <c r="A6" s="30">
        <v>0.064247</v>
      </c>
      <c r="B6" s="31">
        <v>75.64850101620578</v>
      </c>
      <c r="C6" s="31">
        <v>76.16058123795462</v>
      </c>
      <c r="D6" s="31">
        <v>77.0900266285022</v>
      </c>
      <c r="E6" s="31">
        <v>78.61964086501686</v>
      </c>
      <c r="F6" s="31">
        <v>81.05723441317038</v>
      </c>
    </row>
    <row r="7" spans="1:6" x14ac:dyDescent="0.25">
      <c r="A7" s="30">
        <v>0.074247</v>
      </c>
      <c r="B7" s="31">
        <v>58.75114957416672</v>
      </c>
      <c r="C7" s="31">
        <v>57.94041907078256</v>
      </c>
      <c r="D7" s="32">
        <v>57.181135561808375</v>
      </c>
      <c r="E7" s="31">
        <v>56.49073988879612</v>
      </c>
      <c r="F7" s="31">
        <v>55.89556062563501</v>
      </c>
    </row>
    <row r="8" spans="1:6" x14ac:dyDescent="0.25">
      <c r="A8" s="30">
        <v>0.084247</v>
      </c>
      <c r="B8" s="31">
        <v>47.84482358335329</v>
      </c>
      <c r="C8" s="31">
        <v>46.91859831781647</v>
      </c>
      <c r="D8" s="31">
        <v>45.9923730522796</v>
      </c>
      <c r="E8" s="31">
        <v>45.06614778674279</v>
      </c>
      <c r="F8" s="31">
        <v>44.139922521205946</v>
      </c>
    </row>
    <row r="9" spans="1:6" x14ac:dyDescent="0.25">
      <c r="A9" s="30">
        <v>0.094247</v>
      </c>
      <c r="B9" s="31">
        <v>39.87829076212091</v>
      </c>
      <c r="C9" s="31">
        <v>39.09448040266278</v>
      </c>
      <c r="D9" s="31">
        <v>38.310670043204645</v>
      </c>
      <c r="E9" s="31">
        <v>37.52685968374653</v>
      </c>
      <c r="F9" s="31">
        <v>36.7430493242884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80269000000</v>
      </c>
      <c r="C5" s="18">
        <v>85530000000</v>
      </c>
      <c r="D5" s="18">
        <v>93935000000</v>
      </c>
      <c r="E5" s="18">
        <v>101556000000</v>
      </c>
      <c r="F5" s="6" t="s">
        <v>91</v>
      </c>
    </row>
    <row r="6" spans="1:6" x14ac:dyDescent="0.25">
      <c r="A6" t="s">
        <v>51</v>
      </c>
      <c r="B6" s="18">
        <v>1424000000</v>
      </c>
      <c r="C6" s="18">
        <v>2072000000</v>
      </c>
      <c r="D6" s="18">
        <v>4057000000</v>
      </c>
      <c r="E6" s="18">
        <v>4212000000</v>
      </c>
      <c r="F6" s="6" t="s">
        <v>92</v>
      </c>
    </row>
    <row r="7" spans="1:6" x14ac:dyDescent="0.25">
      <c r="A7" t="s">
        <v>93</v>
      </c>
      <c r="B7" s="18">
        <v>1181000000</v>
      </c>
      <c r="C7" s="18">
        <v>1141000000</v>
      </c>
      <c r="D7" s="18">
        <v>1059000000</v>
      </c>
      <c r="E7" s="18">
        <v>1028000000</v>
      </c>
      <c r="F7" s="6" t="s">
        <v>94</v>
      </c>
    </row>
    <row r="8" spans="1:6" x14ac:dyDescent="0.25">
      <c r="A8" t="s">
        <v>95</v>
      </c>
      <c r="B8" s="18">
        <v>1248000000</v>
      </c>
      <c r="C8" s="18">
        <v>1563000000</v>
      </c>
      <c r="D8" s="18">
        <v>1494000000</v>
      </c>
      <c r="E8" s="18">
        <v>1319000000</v>
      </c>
      <c r="F8" s="6" t="s">
        <v>96</v>
      </c>
    </row>
    <row r="9" spans="1:6" x14ac:dyDescent="0.25">
      <c r="A9" t="s">
        <v>97</v>
      </c>
      <c r="B9" s="18">
        <v>-2763000000</v>
      </c>
      <c r="C9" s="18">
        <v>492000000</v>
      </c>
      <c r="D9" s="18">
        <v>267000000</v>
      </c>
      <c r="E9" s="18">
        <v>1532000000</v>
      </c>
      <c r="F9" s="6" t="s">
        <v>98</v>
      </c>
    </row>
    <row r="10" spans="1:6" x14ac:dyDescent="0.25">
      <c r="A10" t="s">
        <v>99</v>
      </c>
      <c r="B10" s="18">
        <v>9758000000</v>
      </c>
      <c r="C10" s="18">
        <v>11538000000</v>
      </c>
      <c r="D10" s="18">
        <v>9596000000</v>
      </c>
      <c r="E10" s="18">
        <v>10288000000</v>
      </c>
      <c r="F10" s="6" t="s">
        <v>100</v>
      </c>
    </row>
    <row r="11" spans="1:6" x14ac:dyDescent="0.25">
      <c r="A11" t="s">
        <v>101</v>
      </c>
      <c r="B11" s="18">
        <v>1047000000</v>
      </c>
      <c r="C11" s="18">
        <v>857000000</v>
      </c>
      <c r="D11" s="18">
        <v>1368000000</v>
      </c>
      <c r="E11" s="18">
        <v>1037000000</v>
      </c>
      <c r="F11" s="6" t="s">
        <v>102</v>
      </c>
    </row>
    <row r="12" spans="1:6" x14ac:dyDescent="0.25">
      <c r="A12" t="s">
        <v>34</v>
      </c>
      <c r="B12" s="34">
        <v>484000000</v>
      </c>
      <c r="C12" s="34">
        <v>493000000</v>
      </c>
      <c r="D12" s="34">
        <v>542000000</v>
      </c>
      <c r="E12" s="34">
        <v>563000000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