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<sst xmlns="http://schemas.openxmlformats.org/spreadsheetml/2006/main" count="114" uniqueCount="102">
  <si>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Admiral Group plc (ADM.L)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</si>
  <si>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</si>
  <si>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</si>
  <si>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</si>
  <si>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</si>
  <si>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</si>
  <si>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</si>
  <si>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</si>
  <si>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</si>
  <si>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</si>
  <si>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</si>
  <si>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</si>
  <si>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</si>
  <si>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</si>
  <si>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</si>
  <si>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</si>
  <si>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</si>
  <si>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</si>
  <si>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</si>
  <si>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</si>
  <si>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</si>
  <si>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</si>
  <si>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</si>
  <si>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</si>
  <si>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</si>
  <si>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</si>
  <si>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</si>
  <si>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</si>
  <si>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</si>
  <si>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</si>
  <si>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</si>
  <si>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</si>
  <si>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</si>
  <si>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</si>
  <si>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</si>
  <si>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</si>
  <si>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</si>
  <si>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</si>
  <si>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</si>
  <si>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</si>
  <si>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</si>
  <si>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</si>
  <si>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</si>
  <si>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</si>
  <si>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</si>
  <si>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</si>
  <si>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</si>
  <si>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</si>
  <si>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</si>
  <si>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</si>
  <si>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</si>
  <si>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</si>
  <si>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</si>
  <si>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</si>
  <si>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</si>
  <si>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</si>
  <si>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</si>
  <si>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</si>
  <si>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</si>
  <si>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</si>
  <si>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</si>
  <si>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</si>
  <si>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</si>
  <si>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</si>
  <si>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</si>
  <si>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</si>
  <si>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</si>
  <si>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</si>
  <si>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</si>
  <si>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</si>
  <si>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</si>
  <si>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</si>
  <si>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</si>
  <si>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</si>
  <si>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</si>
  <si>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</si>
  <si>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</si>
  <si>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</si>
  <si>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</si>
  <si>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</si>
  <si>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</si>
  <si>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</si>
  <si>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</si>
  <si>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</si>
  <si>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</si>
  <si>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</si>
  <si>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</si>
  <si>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</si>
  <si>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</si>
  <si>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</si>
  <si>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</si>
  <si>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</si>
  <si>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</si>
  <si>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</si>
  <si>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</si>
  <si>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</si>
  <si>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</si>
  <si>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</si>
  <si>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</si>
  <si>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Capital expenditure runs at 2.5% of revenue against depreciation of 1.6%.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</si>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</sst>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0.18385004549020745</v>
      </c>
    </row>
    <row r="7" spans="1:2" x14ac:dyDescent="0.25">
      <c r="A7" t="s">
        <v>5</v>
      </c>
      <c r="B7" s="6">
        <v>0.15231967002102867</v>
      </c>
    </row>
    <row r="8" spans="1:2" x14ac:dyDescent="0.25">
      <c r="A8" t="s">
        <v>6</v>
      </c>
      <c r="B8" s="6">
        <v>0.21757428767443301</v>
      </c>
    </row>
    <row r="9" spans="1:2" x14ac:dyDescent="0.25">
      <c r="A9" t="s">
        <v>7</v>
      </c>
      <c r="B9" s="6">
        <v>0.01604320315853448</v>
      </c>
    </row>
    <row r="10" spans="1:2" x14ac:dyDescent="0.25">
      <c r="A10" t="s">
        <v>8</v>
      </c>
      <c r="B10" s="6">
        <v>0.024810054087749625</v>
      </c>
    </row>
    <row r="11" spans="1:2" x14ac:dyDescent="0.25">
      <c r="A11" t="s">
        <v>9</v>
      </c>
      <c r="B11" s="6">
        <v>-0.3760149906308557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9.01608505352493</v>
      </c>
    </row>
    <row r="14" spans="1:3" x14ac:dyDescent="0.25">
      <c r="A14" t="s">
        <v>12</v>
      </c>
      <c r="B14" s="6">
        <v>0.196760867209826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0.46199</v>
      </c>
      <c r="C19" s="8" t="s">
        <v>19</v>
      </c>
    </row>
    <row r="20" spans="1:2" x14ac:dyDescent="0.25">
      <c r="A20" t="s">
        <v>20</v>
      </c>
      <c r="B20" s="10">
        <f>B17+B19*B18</f>
        <v>0.07040945</v>
      </c>
    </row>
    <row r="21" spans="1:3" x14ac:dyDescent="0.25">
      <c r="A21" t="s">
        <v>21</v>
      </c>
      <c r="B21" s="6">
        <v>0.045</v>
      </c>
      <c r="C21" s="8" t="s">
        <v>22</v>
      </c>
    </row>
    <row r="22" spans="1:2" x14ac:dyDescent="0.25">
      <c r="A22" t="s">
        <v>23</v>
      </c>
      <c r="B22" s="11">
        <v>11412078592</v>
      </c>
    </row>
    <row r="23" spans="1:2" x14ac:dyDescent="0.25">
      <c r="A23" t="s">
        <v>24</v>
      </c>
      <c r="B23" s="11">
        <v>1885800000</v>
      </c>
    </row>
    <row r="24" spans="1:2" x14ac:dyDescent="0.25">
      <c r="A24" t="s">
        <v>25</v>
      </c>
      <c r="B24" s="10">
        <f>B22/(B22+B23)</f>
        <v>0.8581879066684744</v>
      </c>
    </row>
    <row r="25" spans="1:2" x14ac:dyDescent="0.25">
      <c r="A25" t="s">
        <v>26</v>
      </c>
      <c r="B25" s="10">
        <f>1-B24</f>
        <v>0.14181209333152556</v>
      </c>
    </row>
    <row r="26" spans="1:2" x14ac:dyDescent="0.25">
      <c r="A26" t="s">
        <v>27</v>
      </c>
      <c r="B26" s="12">
        <f>B24*B20+B25*B21*(1-B8)</f>
        <v>0.06541762277153705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5058800000</v>
      </c>
      <c r="C29" s="8" t="s">
        <v>30</v>
      </c>
    </row>
    <row r="30" spans="1:2" x14ac:dyDescent="0.25">
      <c r="A30" t="s">
        <v>31</v>
      </c>
      <c r="B30" s="11">
        <v>-2063300000</v>
      </c>
    </row>
    <row r="31" spans="1:2" x14ac:dyDescent="0.25">
      <c r="A31" t="s">
        <v>32</v>
      </c>
      <c r="B31" s="13">
        <v>307190136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0.18385004549020745</v>
      </c>
      <c r="C5" s="10">
        <f>Assumptions!B6</f>
        <v>0.18385004549020745</v>
      </c>
      <c r="D5" s="10">
        <f>Assumptions!B6</f>
        <v>0.18385004549020745</v>
      </c>
      <c r="E5" s="10">
        <f>Assumptions!B6</f>
        <v>0.18385004549020745</v>
      </c>
      <c r="F5" s="10">
        <f>Assumptions!B6</f>
        <v>0.18385004549020745</v>
      </c>
    </row>
    <row r="6" spans="1:6" x14ac:dyDescent="0.25">
      <c r="A6" t="s">
        <v>43</v>
      </c>
      <c r="B6" s="18">
        <f>Assumptions!B29*(1+B5)</f>
        <v>5988860610.125861</v>
      </c>
      <c r="C6" s="18">
        <f>B6*(1+C5)</f>
        <v>7089912905.732013</v>
      </c>
      <c r="D6" s="18">
        <f>C6*(1+D5)</f>
        <v>8393393715.972452</v>
      </c>
      <c r="E6" s="18">
        <f>D6*(1+E5)</f>
        <v>9936519532.471209</v>
      </c>
      <c r="F6" s="18">
        <f>E6*(1+F5)</f>
        <v>11763349100.530375</v>
      </c>
    </row>
    <row r="7" spans="1:6" x14ac:dyDescent="0.25">
      <c r="A7" t="s">
        <v>5</v>
      </c>
      <c r="B7" s="10">
        <f>Assumptions!B7</f>
        <v>0.15231967002102867</v>
      </c>
      <c r="C7" s="10">
        <f>Assumptions!B7</f>
        <v>0.15231967002102867</v>
      </c>
      <c r="D7" s="10">
        <f>Assumptions!B7</f>
        <v>0.15231967002102867</v>
      </c>
      <c r="E7" s="10">
        <f>Assumptions!B7</f>
        <v>0.15231967002102867</v>
      </c>
      <c r="F7" s="10">
        <f>Assumptions!B7</f>
        <v>0.15231967002102867</v>
      </c>
    </row>
    <row r="8" spans="1:6" x14ac:dyDescent="0.25">
      <c r="A8" t="s">
        <v>44</v>
      </c>
      <c r="B8" s="18">
        <f>B6*B7</f>
        <v>912221271.9363075</v>
      </c>
      <c r="C8" s="18">
        <f>C6*C7</f>
        <v>1079933194.2789328</v>
      </c>
      <c r="D8" s="18">
        <f>D6*D7</f>
        <v>1278478961.1734996</v>
      </c>
      <c r="E8" s="18">
        <f>E6*E7</f>
        <v>1513527376.3435206</v>
      </c>
      <c r="F8" s="18">
        <f>F6*F7</f>
        <v>1791789453.3349512</v>
      </c>
    </row>
    <row r="9" spans="1:6" x14ac:dyDescent="0.25">
      <c r="A9" t="s">
        <v>45</v>
      </c>
      <c r="B9" s="18">
        <f>B8*(1-Assumptions!B8)</f>
        <v>713745378.4933002</v>
      </c>
      <c r="C9" s="18">
        <f>C8*(1-Assumptions!B8)</f>
        <v>844967498.797719</v>
      </c>
      <c r="D9" s="18">
        <f>D8*(1-Assumptions!B8)</f>
        <v>1000314811.8894264</v>
      </c>
      <c r="E9" s="18">
        <f>E8*(1-Assumptions!B8)</f>
        <v>1184222735.5598257</v>
      </c>
      <c r="F9" s="18">
        <f>F8*(1-Assumptions!B8)</f>
        <v>1401942139.3630376</v>
      </c>
    </row>
    <row r="10" spans="1:6" x14ac:dyDescent="0.25">
      <c r="A10" t="s">
        <v>46</v>
      </c>
      <c r="B10" s="18">
        <f>B6*Assumptions!B9</f>
        <v>96080507.45639394</v>
      </c>
      <c r="C10" s="18">
        <f>C6*Assumptions!B9</f>
        <v>113744913.1229742</v>
      </c>
      <c r="D10" s="18">
        <f>D6*Assumptions!B9</f>
        <v>134656920.5749127</v>
      </c>
      <c r="E10" s="18">
        <f>E6*Assumptions!B9</f>
        <v>159413601.54818165</v>
      </c>
      <c r="F10" s="18">
        <f>F6*Assumptions!B9</f>
        <v>188721799.44457263</v>
      </c>
    </row>
    <row r="11" spans="1:6" x14ac:dyDescent="0.25">
      <c r="A11" t="s">
        <v>47</v>
      </c>
      <c r="B11" s="18">
        <f>-B6*Assumptions!B10</f>
        <v>-148583955.66121584</v>
      </c>
      <c r="C11" s="18">
        <f>-C6*Assumptions!B10</f>
        <v>-175901122.66864535</v>
      </c>
      <c r="D11" s="18">
        <f>-D6*Assumptions!B10</f>
        <v>-208240552.07305434</v>
      </c>
      <c r="E11" s="18">
        <f>-E6*Assumptions!B10</f>
        <v>-246525587.0445913</v>
      </c>
      <c r="F11" s="18">
        <f>-F6*Assumptions!B10</f>
        <v>-291849327.43723947</v>
      </c>
    </row>
    <row r="12" spans="1:6" x14ac:dyDescent="0.25">
      <c r="A12" t="s">
        <v>48</v>
      </c>
      <c r="B12" s="18">
        <f>-(B6-Assumptions!B29)*Assumptions!B11</f>
        <v>349716731.6026036</v>
      </c>
      <c r="C12" s="18">
        <f>-(C6-B6)*Assumptions!B11</f>
        <v>414012168.61642927</v>
      </c>
      <c r="D12" s="18">
        <f>-(D6-C6)*Assumptions!B11</f>
        <v>490128324.65005904</v>
      </c>
      <c r="E12" s="18">
        <f>-(E6-D6)*Assumptions!B11</f>
        <v>580238439.4330114</v>
      </c>
      <c r="F12" s="18">
        <f>-(F6-E6)*Assumptions!B11</f>
        <v>686915302.9179374</v>
      </c>
    </row>
    <row r="13" spans="1:6" x14ac:dyDescent="0.25">
      <c r="A13" s="19" t="s">
        <v>49</v>
      </c>
      <c r="B13" s="20">
        <f>B9+B10+B11+B12</f>
        <v>1010958661.891082</v>
      </c>
      <c r="C13" s="20">
        <f>C9+C10+C11+C12</f>
        <v>1196823457.868477</v>
      </c>
      <c r="D13" s="20">
        <f>D9+D10+D11+D12</f>
        <v>1416859505.0413437</v>
      </c>
      <c r="E13" s="20">
        <f>E9+E10+E11+E12</f>
        <v>1677349189.4964275</v>
      </c>
      <c r="F13" s="20">
        <f>F9+F10+F11+F12</f>
        <v>1985729914.2883081</v>
      </c>
    </row>
    <row r="14" spans="1:6" x14ac:dyDescent="0.25">
      <c r="A14" t="s">
        <v>50</v>
      </c>
      <c r="B14" s="21">
        <f>1/(1+Assumptions!$B$26)^(1-0.5*Assumptions!$B$32)</f>
        <v>0.9688132325090149</v>
      </c>
      <c r="C14" s="21">
        <f>1/(1+Assumptions!$B$26)^(2-0.5*Assumptions!$B$32)</f>
        <v>0.9093272082254289</v>
      </c>
      <c r="D14" s="21">
        <f>1/(1+Assumptions!$B$26)^(3-0.5*Assumptions!$B$32)</f>
        <v>0.8534936805906584</v>
      </c>
      <c r="E14" s="21">
        <f>1/(1+Assumptions!$B$26)^(4-0.5*Assumptions!$B$32)</f>
        <v>0.8010883829482869</v>
      </c>
      <c r="F14" s="21">
        <f>1/(1+Assumptions!$B$26)^(5-0.5*Assumptions!$B$32)</f>
        <v>0.751900818821042</v>
      </c>
    </row>
    <row r="15" spans="1:6" x14ac:dyDescent="0.25">
      <c r="A15" s="19" t="s">
        <v>51</v>
      </c>
      <c r="B15" s="20">
        <f>B13*B14</f>
        <v>979430129.1596874</v>
      </c>
      <c r="C15" s="20">
        <f>C13*C14</f>
        <v>1088304133.6822464</v>
      </c>
      <c r="D15" s="20">
        <f>D13*D14</f>
        <v>1209280633.837595</v>
      </c>
      <c r="E15" s="20">
        <f>E13*E14</f>
        <v>1343704949.8533127</v>
      </c>
      <c r="F15" s="20">
        <f>F13*F14</f>
        <v>1493071948.5108163</v>
      </c>
    </row>
    <row r="17" spans="1:2" x14ac:dyDescent="0.25">
      <c r="A17" s="22" t="s">
        <v>52</v>
      </c>
      <c r="B17" s="23">
        <f>SUM(B15:F15)</f>
        <v>6113791795.043658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1985729914.2883081</v>
      </c>
    </row>
    <row r="5" spans="1:2" x14ac:dyDescent="0.25">
      <c r="A5" t="s">
        <v>56</v>
      </c>
      <c r="B5" s="18">
        <f>IF(Assumptions!$B$33=0,B4,B4-Forecast!F11-Forecast!F10-Forecast!F12)</f>
        <v>1507594000.9795814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0.12705778519130012</v>
      </c>
    </row>
    <row r="7" spans="1:2" x14ac:dyDescent="0.25">
      <c r="A7" t="s">
        <v>58</v>
      </c>
      <c r="B7" s="18">
        <f>-MAX(Forecast!F9,0)*B6</f>
        <v>-191551554.73215637</v>
      </c>
    </row>
    <row r="8" spans="1:2" x14ac:dyDescent="0.25">
      <c r="A8" t="s">
        <v>59</v>
      </c>
      <c r="B8" s="18">
        <f>IF(OR(Assumptions!$B$33=0,Assumptions!B12&lt;=0),B5,MAX(B5+B7,0))</f>
        <v>1316042446.247425</v>
      </c>
    </row>
    <row r="9" spans="1:2" x14ac:dyDescent="0.25">
      <c r="A9" t="s">
        <v>60</v>
      </c>
      <c r="B9" s="18">
        <f>B8*(1+Assumptions!B12)/(Assumptions!B26-Assumptions!B12)</f>
        <v>33375132303.762444</v>
      </c>
    </row>
    <row r="10" spans="1:2" x14ac:dyDescent="0.25">
      <c r="A10" t="s">
        <v>61</v>
      </c>
      <c r="B10" s="18">
        <f>B9/(1+Assumptions!B26)^(5-0.5*Assumptions!B32)</f>
        <v>25094789307.45959</v>
      </c>
    </row>
    <row r="11" spans="1:2" x14ac:dyDescent="0.25">
      <c r="A11" t="s">
        <v>62</v>
      </c>
      <c r="B11" s="18">
        <f>Forecast!B17+B10</f>
        <v>31208581102.50325</v>
      </c>
    </row>
    <row r="12" spans="1:2" x14ac:dyDescent="0.25">
      <c r="A12" t="s">
        <v>63</v>
      </c>
      <c r="B12" s="18">
        <f>-Assumptions!B30</f>
        <v>2063300000</v>
      </c>
    </row>
    <row r="13" spans="1:2" x14ac:dyDescent="0.25">
      <c r="A13" t="s">
        <v>64</v>
      </c>
      <c r="B13" s="18">
        <f>B11+B12</f>
        <v>33271881102.50325</v>
      </c>
    </row>
    <row r="14" spans="1:2" x14ac:dyDescent="0.25">
      <c r="A14" s="19" t="s">
        <v>65</v>
      </c>
      <c r="B14" s="24">
        <f>B13/Assumptions!B31</f>
        <v>108.3103824092296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1980511252.7795238</v>
      </c>
    </row>
    <row r="18" spans="1:2" x14ac:dyDescent="0.25">
      <c r="A18" t="s">
        <v>60</v>
      </c>
      <c r="B18" s="18">
        <f>B17*Assumptions!B13</f>
        <v>17856457904.5234</v>
      </c>
    </row>
    <row r="19" spans="1:2" x14ac:dyDescent="0.25">
      <c r="A19" t="s">
        <v>61</v>
      </c>
      <c r="B19" s="18">
        <f>B18/(1+Assumptions!B26)^(5-0.5*Assumptions!B32)</f>
        <v>13426285319.654612</v>
      </c>
    </row>
    <row r="20" spans="1:2" x14ac:dyDescent="0.25">
      <c r="A20" t="s">
        <v>62</v>
      </c>
      <c r="B20" s="18">
        <f>Forecast!B17+B19</f>
        <v>19540077114.69827</v>
      </c>
    </row>
    <row r="21" spans="1:2" x14ac:dyDescent="0.25">
      <c r="A21" t="s">
        <v>63</v>
      </c>
      <c r="B21" s="18">
        <f>-Assumptions!B30</f>
        <v>2063300000</v>
      </c>
    </row>
    <row r="22" spans="1:2" x14ac:dyDescent="0.25">
      <c r="A22" t="s">
        <v>64</v>
      </c>
      <c r="B22" s="18">
        <f>B20+B21</f>
        <v>21603377114.69827</v>
      </c>
    </row>
    <row r="23" spans="1:2" x14ac:dyDescent="0.25">
      <c r="A23" s="19" t="s">
        <v>65</v>
      </c>
      <c r="B23" s="25">
        <f>B22/Assumptions!B31</f>
        <v>70.32575132782996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3818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10831.03824092296</v>
      </c>
    </row>
    <row r="29" spans="1:2" x14ac:dyDescent="0.25">
      <c r="A29" s="19" t="s">
        <v>73</v>
      </c>
      <c r="B29" s="12">
        <f>B28/B26-1</f>
        <v>1.8368355790788269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0.045418</v>
      </c>
      <c r="B5" s="31">
        <v>151.54599398182833</v>
      </c>
      <c r="C5" s="31">
        <v>172.54508760196327</v>
      </c>
      <c r="D5" s="31">
        <v>203.7787660644123</v>
      </c>
      <c r="E5" s="31">
        <v>255.20414265460232</v>
      </c>
      <c r="F5" s="31">
        <v>355.89354141900264</v>
      </c>
    </row>
    <row r="6" spans="1:6" x14ac:dyDescent="0.25">
      <c r="A6" s="30">
        <v>0.055418</v>
      </c>
      <c r="B6" s="31">
        <v>116.44995310164451</v>
      </c>
      <c r="C6" s="31">
        <v>126.74303514282441</v>
      </c>
      <c r="D6" s="31">
        <v>140.38783200967646</v>
      </c>
      <c r="E6" s="31">
        <v>159.36230114909182</v>
      </c>
      <c r="F6" s="31">
        <v>187.58186444805514</v>
      </c>
    </row>
    <row r="7" spans="1:6" x14ac:dyDescent="0.25">
      <c r="A7" s="30">
        <v>0.065418</v>
      </c>
      <c r="B7" s="31">
        <v>95.24345614610195</v>
      </c>
      <c r="C7" s="31">
        <v>101.0675774890369</v>
      </c>
      <c r="D7" s="32">
        <v>108.3094707161395</v>
      </c>
      <c r="E7" s="31">
        <v>117.56958131452124</v>
      </c>
      <c r="F7" s="31">
        <v>129.84315093613782</v>
      </c>
    </row>
    <row r="8" spans="1:6" x14ac:dyDescent="0.25">
      <c r="A8" s="30">
        <v>0.075418</v>
      </c>
      <c r="B8" s="31">
        <v>81.0317640332754</v>
      </c>
      <c r="C8" s="31">
        <v>84.62584253384696</v>
      </c>
      <c r="D8" s="31">
        <v>88.9149442346927</v>
      </c>
      <c r="E8" s="31">
        <v>94.12861134383834</v>
      </c>
      <c r="F8" s="31">
        <v>100.60997021895867</v>
      </c>
    </row>
    <row r="9" spans="1:6" x14ac:dyDescent="0.25">
      <c r="A9" s="30">
        <v>0.085418</v>
      </c>
      <c r="B9" s="31">
        <v>70.83647122223964</v>
      </c>
      <c r="C9" s="31">
        <v>73.18527480838931</v>
      </c>
      <c r="D9" s="31">
        <v>75.90856298350847</v>
      </c>
      <c r="E9" s="31">
        <v>79.10769755846259</v>
      </c>
      <c r="F9" s="31">
        <v>82.92424892472938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5058800000</v>
      </c>
      <c r="C5" s="18">
        <v>4673800000</v>
      </c>
      <c r="D5" s="18">
        <v>3553100000</v>
      </c>
      <c r="E5" s="18">
        <v>3049000000</v>
      </c>
      <c r="F5" s="8" t="s">
        <v>84</v>
      </c>
    </row>
    <row r="6" spans="1:6" x14ac:dyDescent="0.25">
      <c r="A6" t="s">
        <v>44</v>
      </c>
      <c r="B6" s="18">
        <v>957900000</v>
      </c>
      <c r="C6" s="18">
        <v>826500000</v>
      </c>
      <c r="D6" s="18">
        <v>442800000</v>
      </c>
      <c r="E6" s="18">
        <v>361200000</v>
      </c>
      <c r="F6" s="8" t="s">
        <v>85</v>
      </c>
    </row>
    <row r="7" spans="1:6" x14ac:dyDescent="0.25">
      <c r="A7" t="s">
        <v>86</v>
      </c>
      <c r="B7" s="18">
        <v>79000000</v>
      </c>
      <c r="C7" s="18">
        <v>85500000</v>
      </c>
      <c r="D7" s="18">
        <v>58700000</v>
      </c>
      <c r="E7" s="18">
        <v>41900000</v>
      </c>
      <c r="F7" s="8" t="s">
        <v>87</v>
      </c>
    </row>
    <row r="8" spans="1:6" x14ac:dyDescent="0.25">
      <c r="A8" t="s">
        <v>88</v>
      </c>
      <c r="B8" s="18">
        <v>74300000</v>
      </c>
      <c r="C8" s="18">
        <v>144200000</v>
      </c>
      <c r="D8" s="18">
        <v>75900000</v>
      </c>
      <c r="E8" s="18">
        <v>98600000</v>
      </c>
      <c r="F8" s="8" t="s">
        <v>89</v>
      </c>
    </row>
    <row r="9" spans="1:6" x14ac:dyDescent="0.25">
      <c r="A9" t="s">
        <v>90</v>
      </c>
      <c r="B9" s="18">
        <v>280500000</v>
      </c>
      <c r="C9" s="18">
        <v>-421400000</v>
      </c>
      <c r="D9" s="18">
        <v>-193600000</v>
      </c>
      <c r="E9" s="18">
        <v>53200000</v>
      </c>
      <c r="F9" s="8" t="s">
        <v>91</v>
      </c>
    </row>
    <row r="10" spans="1:6" x14ac:dyDescent="0.25">
      <c r="A10" t="s">
        <v>92</v>
      </c>
      <c r="B10" s="18">
        <v>1885800000</v>
      </c>
      <c r="C10" s="18">
        <v>1393600000</v>
      </c>
      <c r="D10" s="18">
        <v>1211000000</v>
      </c>
      <c r="E10" s="18">
        <v>1027600000</v>
      </c>
      <c r="F10" s="8" t="s">
        <v>93</v>
      </c>
    </row>
    <row r="11" spans="1:6" x14ac:dyDescent="0.25">
      <c r="A11" t="s">
        <v>94</v>
      </c>
      <c r="B11" s="18">
        <v>3949100000</v>
      </c>
      <c r="C11" s="18">
        <v>3603800000</v>
      </c>
      <c r="D11" s="18">
        <v>3140100000</v>
      </c>
      <c r="E11" s="18">
        <v>2633100000</v>
      </c>
      <c r="F11" s="8" t="s">
        <v>95</v>
      </c>
    </row>
    <row r="12" spans="1:6" x14ac:dyDescent="0.25">
      <c r="A12" t="s">
        <v>32</v>
      </c>
      <c r="B12" s="34">
        <v>307190136</v>
      </c>
      <c r="C12" s="34">
        <v>306304676</v>
      </c>
      <c r="D12" s="34">
        <v>305052941</v>
      </c>
      <c r="E12" s="34">
        <v>301543390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2026-09-19T00:06:37Z</dcterms:modified>
</cp:coreProperties>
</file>