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<sst xmlns="http://schemas.openxmlformats.org/spreadsheetml/2006/main" count="111" uniqueCount="99">
  <si>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Automatic Data Processing, Inc. (ADP)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</si>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</sst>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0.06808407405467554</v>
      </c>
    </row>
    <row r="7" spans="1:2" x14ac:dyDescent="0.25">
      <c r="A7" t="s">
        <v>5</v>
      </c>
      <c r="B7" s="6">
        <v>0.25859685617060424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0.028694728249434007</v>
      </c>
    </row>
    <row r="10" spans="1:2" x14ac:dyDescent="0.25">
      <c r="A10" t="s">
        <v>8</v>
      </c>
      <c r="B10" s="6">
        <v>0.029495497642719457</v>
      </c>
    </row>
    <row r="11" spans="1:2" x14ac:dyDescent="0.25">
      <c r="A11" t="s">
        <v>9</v>
      </c>
      <c r="B11" s="6">
        <v>0.8433335787381285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17.091597303963926</v>
      </c>
    </row>
    <row r="14" spans="1:3" x14ac:dyDescent="0.25">
      <c r="A14" t="s">
        <v>12</v>
      </c>
      <c r="B14" s="6">
        <v>0.46680496961977447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0.8861</v>
      </c>
      <c r="C19" s="8" t="s">
        <v>19</v>
      </c>
    </row>
    <row r="20" spans="1:2" x14ac:dyDescent="0.25">
      <c r="A20" t="s">
        <v>20</v>
      </c>
      <c r="B20" s="10">
        <f>B17+B19*B18</f>
        <v>0.09871550000000001</v>
      </c>
    </row>
    <row r="21" spans="1:3" x14ac:dyDescent="0.25">
      <c r="A21" t="s">
        <v>21</v>
      </c>
      <c r="B21" s="6">
        <v>0.06407555698162692</v>
      </c>
      <c r="C21" s="8" t="s">
        <v>22</v>
      </c>
    </row>
    <row r="22" spans="1:2" x14ac:dyDescent="0.25">
      <c r="A22" t="s">
        <v>23</v>
      </c>
      <c r="B22" s="11">
        <v>107745607680</v>
      </c>
    </row>
    <row r="23" spans="1:2" x14ac:dyDescent="0.25">
      <c r="A23" t="s">
        <v>24</v>
      </c>
      <c r="B23" s="11">
        <v>5270800000</v>
      </c>
    </row>
    <row r="24" spans="1:2" x14ac:dyDescent="0.25">
      <c r="A24" t="s">
        <v>25</v>
      </c>
      <c r="B24" s="10">
        <f>B22/(B22+B23)</f>
        <v>0.9533625240069212</v>
      </c>
    </row>
    <row r="25" spans="1:2" x14ac:dyDescent="0.25">
      <c r="A25" t="s">
        <v>26</v>
      </c>
      <c r="B25" s="10">
        <f>1-B24</f>
        <v>0.04663747599307877</v>
      </c>
    </row>
    <row r="26" spans="1:2" x14ac:dyDescent="0.25">
      <c r="A26" t="s">
        <v>27</v>
      </c>
      <c r="B26" s="12">
        <f>B24*B20+B25*B21*(1-B8)</f>
        <v>0.09647243281647953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21947400000</v>
      </c>
      <c r="C29" s="8" t="s">
        <v>30</v>
      </c>
    </row>
    <row r="30" spans="1:2" x14ac:dyDescent="0.25">
      <c r="A30" t="s">
        <v>31</v>
      </c>
      <c r="B30" s="11">
        <v>1040700000</v>
      </c>
    </row>
    <row r="31" spans="1:2" x14ac:dyDescent="0.25">
      <c r="A31" t="s">
        <v>32</v>
      </c>
      <c r="B31" s="13">
        <v>397800000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0.06808407405467554</v>
      </c>
      <c r="C5" s="10">
        <f>Assumptions!B6</f>
        <v>0.06808407405467554</v>
      </c>
      <c r="D5" s="10">
        <f>Assumptions!B6</f>
        <v>0.06808407405467554</v>
      </c>
      <c r="E5" s="10">
        <f>Assumptions!B6</f>
        <v>0.06808407405467554</v>
      </c>
      <c r="F5" s="10">
        <f>Assumptions!B6</f>
        <v>0.06808407405467554</v>
      </c>
    </row>
    <row r="6" spans="1:6" x14ac:dyDescent="0.25">
      <c r="A6" t="s">
        <v>43</v>
      </c>
      <c r="B6" s="18">
        <f>Assumptions!B29*(1+B5)</f>
        <v>23441668406.907585</v>
      </c>
      <c r="C6" s="18">
        <f>B6*(1+C5)</f>
        <v>25037672694.68863</v>
      </c>
      <c r="D6" s="18">
        <f>C6*(1+D5)</f>
        <v>26742339456.590538</v>
      </c>
      <c r="E6" s="18">
        <f>D6*(1+E5)</f>
        <v>28563066876.54832</v>
      </c>
      <c r="F6" s="18">
        <f>E6*(1+F5)</f>
        <v>30507756836.999886</v>
      </c>
    </row>
    <row r="7" spans="1:6" x14ac:dyDescent="0.25">
      <c r="A7" t="s">
        <v>5</v>
      </c>
      <c r="B7" s="10">
        <f>Assumptions!B7</f>
        <v>0.25859685617060424</v>
      </c>
      <c r="C7" s="10">
        <f>Assumptions!B7</f>
        <v>0.25859685617060424</v>
      </c>
      <c r="D7" s="10">
        <f>Assumptions!B7</f>
        <v>0.25859685617060424</v>
      </c>
      <c r="E7" s="10">
        <f>Assumptions!B7</f>
        <v>0.25859685617060424</v>
      </c>
      <c r="F7" s="10">
        <f>Assumptions!B7</f>
        <v>0.25859685617060424</v>
      </c>
    </row>
    <row r="8" spans="1:6" x14ac:dyDescent="0.25">
      <c r="A8" t="s">
        <v>44</v>
      </c>
      <c r="B8" s="18">
        <f>B6*B7</f>
        <v>6061941753.420078</v>
      </c>
      <c r="C8" s="18">
        <f>C6*C7</f>
        <v>6474663444.67506</v>
      </c>
      <c r="D8" s="18">
        <f>D6*D7</f>
        <v>6915484910.121418</v>
      </c>
      <c r="E8" s="18">
        <f>E6*E7</f>
        <v>7386319296.866117</v>
      </c>
      <c r="F8" s="18">
        <f>F6*F7</f>
        <v>7889210006.865428</v>
      </c>
    </row>
    <row r="9" spans="1:6" x14ac:dyDescent="0.25">
      <c r="A9" t="s">
        <v>45</v>
      </c>
      <c r="B9" s="18">
        <f>B8*(1-Assumptions!B8)</f>
        <v>4788933985.201862</v>
      </c>
      <c r="C9" s="18">
        <f>C8*(1-Assumptions!B8)</f>
        <v>5114984121.293298</v>
      </c>
      <c r="D9" s="18">
        <f>D8*(1-Assumptions!B8)</f>
        <v>5463233078.99592</v>
      </c>
      <c r="E9" s="18">
        <f>E8*(1-Assumptions!B8)</f>
        <v>5835192244.524232</v>
      </c>
      <c r="F9" s="18">
        <f>F8*(1-Assumptions!B8)</f>
        <v>6232475905.423688</v>
      </c>
    </row>
    <row r="10" spans="1:6" x14ac:dyDescent="0.25">
      <c r="A10" t="s">
        <v>46</v>
      </c>
      <c r="B10" s="18">
        <f>B6*Assumptions!B9</f>
        <v>672652304.6495558</v>
      </c>
      <c r="C10" s="18">
        <f>C6*Assumptions!B9</f>
        <v>718449213.9723643</v>
      </c>
      <c r="D10" s="18">
        <f>D6*Assumptions!B9</f>
        <v>767364163.4609822</v>
      </c>
      <c r="E10" s="18">
        <f>E6*Assumptions!B9</f>
        <v>819609441.9929639</v>
      </c>
      <c r="F10" s="18">
        <f>F6*Assumptions!B9</f>
        <v>875411791.9375241</v>
      </c>
    </row>
    <row r="11" spans="1:6" x14ac:dyDescent="0.25">
      <c r="A11" t="s">
        <v>47</v>
      </c>
      <c r="B11" s="18">
        <f>-B6*Assumptions!B10</f>
        <v>-691423675.2373538</v>
      </c>
      <c r="C11" s="18">
        <f>-C6*Assumptions!B10</f>
        <v>-738498615.9453697</v>
      </c>
      <c r="D11" s="18">
        <f>-D6*Assumptions!B10</f>
        <v>-788778610.4026697</v>
      </c>
      <c r="E11" s="18">
        <f>-E6*Assumptions!B10</f>
        <v>-842481871.7260692</v>
      </c>
      <c r="F11" s="18">
        <f>-F6*Assumptions!B10</f>
        <v>-899841469.8703885</v>
      </c>
    </row>
    <row r="12" spans="1:6" x14ac:dyDescent="0.25">
      <c r="A12" t="s">
        <v>48</v>
      </c>
      <c r="B12" s="18">
        <f>-(B6-Assumptions!B29)*Assumptions!B11</f>
        <v>-1260166723.1926959</v>
      </c>
      <c r="C12" s="18">
        <f>-(C6-B6)*Assumptions!B11</f>
        <v>-1345964007.6957858</v>
      </c>
      <c r="D12" s="18">
        <f>-(D6-C6)*Assumptions!B11</f>
        <v>-1437602720.8706741</v>
      </c>
      <c r="E12" s="18">
        <f>-(E6-D6)*Assumptions!B11</f>
        <v>-1535480570.9796364</v>
      </c>
      <c r="F12" s="18">
        <f>-(F6-E6)*Assumptions!B11</f>
        <v>-1640022343.8837278</v>
      </c>
    </row>
    <row r="13" spans="1:6" x14ac:dyDescent="0.25">
      <c r="A13" s="19" t="s">
        <v>49</v>
      </c>
      <c r="B13" s="20">
        <f>B9+B10+B11+B12</f>
        <v>3509995891.4213696</v>
      </c>
      <c r="C13" s="20">
        <f>C9+C10+C11+C12</f>
        <v>3748970711.624507</v>
      </c>
      <c r="D13" s="20">
        <f>D9+D10+D11+D12</f>
        <v>4004215911.1835585</v>
      </c>
      <c r="E13" s="20">
        <f>E9+E10+E11+E12</f>
        <v>4276839243.81149</v>
      </c>
      <c r="F13" s="20">
        <f>F9+F10+F11+F12</f>
        <v>4568023883.607096</v>
      </c>
    </row>
    <row r="14" spans="1:6" x14ac:dyDescent="0.25">
      <c r="A14" t="s">
        <v>50</v>
      </c>
      <c r="B14" s="21">
        <f>1/(1+Assumptions!$B$26)^(1-0.5*Assumptions!$B$32)</f>
        <v>0.9549950958551889</v>
      </c>
      <c r="C14" s="21">
        <f>1/(1+Assumptions!$B$26)^(2-0.5*Assumptions!$B$32)</f>
        <v>0.8709704569608909</v>
      </c>
      <c r="D14" s="21">
        <f>1/(1+Assumptions!$B$26)^(3-0.5*Assumptions!$B$32)</f>
        <v>0.7943386727230819</v>
      </c>
      <c r="E14" s="21">
        <f>1/(1+Assumptions!$B$26)^(4-0.5*Assumptions!$B$32)</f>
        <v>0.7244492875052823</v>
      </c>
      <c r="F14" s="21">
        <f>1/(1+Assumptions!$B$26)^(5-0.5*Assumptions!$B$32)</f>
        <v>0.6607090755983793</v>
      </c>
    </row>
    <row r="15" spans="1:6" x14ac:dyDescent="0.25">
      <c r="A15" s="19" t="s">
        <v>51</v>
      </c>
      <c r="B15" s="20">
        <f>B13*B14</f>
        <v>3352028862.77927</v>
      </c>
      <c r="C15" s="20">
        <f>C13*C14</f>
        <v>3265242733.836593</v>
      </c>
      <c r="D15" s="20">
        <f>D13*D14</f>
        <v>3180703552.186194</v>
      </c>
      <c r="E15" s="20">
        <f>E13*E14</f>
        <v>3098353142.953864</v>
      </c>
      <c r="F15" s="20">
        <f>F13*F14</f>
        <v>3018134837.4493628</v>
      </c>
    </row>
    <row r="17" spans="1:2" x14ac:dyDescent="0.25">
      <c r="A17" s="22" t="s">
        <v>52</v>
      </c>
      <c r="B17" s="23">
        <f>SUM(B15:F15)</f>
        <v>15914463129.205284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4568023883.607096</v>
      </c>
    </row>
    <row r="5" spans="1:2" x14ac:dyDescent="0.25">
      <c r="A5" t="s">
        <v>56</v>
      </c>
      <c r="B5" s="18">
        <f>IF(Assumptions!$B$33=0,B4,B4-Forecast!F11-Forecast!F10-Forecast!F12)</f>
        <v>6690953593.038682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0.05355555666076818</v>
      </c>
    </row>
    <row r="7" spans="1:2" x14ac:dyDescent="0.25">
      <c r="A7" t="s">
        <v>58</v>
      </c>
      <c r="B7" s="18">
        <f>-MAX(Forecast!F9,0)*B6</f>
        <v>-358337744.2665536</v>
      </c>
    </row>
    <row r="8" spans="1:2" x14ac:dyDescent="0.25">
      <c r="A8" t="s">
        <v>59</v>
      </c>
      <c r="B8" s="18">
        <f>IF(OR(Assumptions!$B$33=0,Assumptions!B12&lt;=0),B5,MAX(B5+B7,0))</f>
        <v>6332615848.772128</v>
      </c>
    </row>
    <row r="9" spans="1:2" x14ac:dyDescent="0.25">
      <c r="A9" t="s">
        <v>60</v>
      </c>
      <c r="B9" s="18">
        <f>B8*(1+Assumptions!B12)/(Assumptions!B26-Assumptions!B12)</f>
        <v>90817270228.6245</v>
      </c>
    </row>
    <row r="10" spans="1:2" x14ac:dyDescent="0.25">
      <c r="A10" t="s">
        <v>61</v>
      </c>
      <c r="B10" s="18">
        <f>B9/(1+Assumptions!B26)^(5-0.5*Assumptions!B32)</f>
        <v>60003794661.1227</v>
      </c>
    </row>
    <row r="11" spans="1:2" x14ac:dyDescent="0.25">
      <c r="A11" t="s">
        <v>62</v>
      </c>
      <c r="B11" s="18">
        <f>Forecast!B17+B10</f>
        <v>75918257790.32799</v>
      </c>
    </row>
    <row r="12" spans="1:2" x14ac:dyDescent="0.25">
      <c r="A12" t="s">
        <v>63</v>
      </c>
      <c r="B12" s="18">
        <f>-Assumptions!B30</f>
        <v>-1040700000</v>
      </c>
    </row>
    <row r="13" spans="1:2" x14ac:dyDescent="0.25">
      <c r="A13" t="s">
        <v>64</v>
      </c>
      <c r="B13" s="18">
        <f>B11+B12</f>
        <v>74877557790.32799</v>
      </c>
    </row>
    <row r="14" spans="1:2" x14ac:dyDescent="0.25">
      <c r="A14" s="19" t="s">
        <v>65</v>
      </c>
      <c r="B14" s="24">
        <f>B13/Assumptions!B31</f>
        <v>188.2291548273705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8764621798.802952</v>
      </c>
    </row>
    <row r="18" spans="1:2" x14ac:dyDescent="0.25">
      <c r="A18" t="s">
        <v>60</v>
      </c>
      <c r="B18" s="18">
        <f>B17*Assumptions!B13</f>
        <v>149801386306.684</v>
      </c>
    </row>
    <row r="19" spans="1:2" x14ac:dyDescent="0.25">
      <c r="A19" t="s">
        <v>61</v>
      </c>
      <c r="B19" s="18">
        <f>B18/(1+Assumptions!B26)^(5-0.5*Assumptions!B32)</f>
        <v>98975135470.04489</v>
      </c>
    </row>
    <row r="20" spans="1:2" x14ac:dyDescent="0.25">
      <c r="A20" t="s">
        <v>62</v>
      </c>
      <c r="B20" s="18">
        <f>Forecast!B17+B19</f>
        <v>114889598599.25018</v>
      </c>
    </row>
    <row r="21" spans="1:2" x14ac:dyDescent="0.25">
      <c r="A21" t="s">
        <v>63</v>
      </c>
      <c r="B21" s="18">
        <f>-Assumptions!B30</f>
        <v>-1040700000</v>
      </c>
    </row>
    <row r="22" spans="1:2" x14ac:dyDescent="0.25">
      <c r="A22" t="s">
        <v>64</v>
      </c>
      <c r="B22" s="18">
        <f>B20+B21</f>
        <v>113848898599.25018</v>
      </c>
    </row>
    <row r="23" spans="1:2" x14ac:dyDescent="0.25">
      <c r="A23" s="19" t="s">
        <v>65</v>
      </c>
      <c r="B23" s="25">
        <f>B22/Assumptions!B31</f>
        <v>286.1963262927355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271.22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188.2291548273705</v>
      </c>
    </row>
    <row r="29" spans="1:2" x14ac:dyDescent="0.25">
      <c r="A29" s="19" t="s">
        <v>73</v>
      </c>
      <c r="B29" s="12">
        <f>B28/B26-1</f>
        <v>-0.30599087520326496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0.076472</v>
      </c>
      <c r="B5" s="31">
        <v>232.184862225745</v>
      </c>
      <c r="C5" s="31">
        <v>247.96628698608166</v>
      </c>
      <c r="D5" s="31">
        <v>266.78860986351526</v>
      </c>
      <c r="E5" s="31">
        <v>289.63335676087905</v>
      </c>
      <c r="F5" s="31">
        <v>317.95539747704805</v>
      </c>
    </row>
    <row r="6" spans="1:6" x14ac:dyDescent="0.25">
      <c r="A6" s="30">
        <v>0.086472</v>
      </c>
      <c r="B6" s="31">
        <v>197.47966164376805</v>
      </c>
      <c r="C6" s="31">
        <v>208.39272978982748</v>
      </c>
      <c r="D6" s="31">
        <v>221.06090994616093</v>
      </c>
      <c r="E6" s="31">
        <v>235.9503920857482</v>
      </c>
      <c r="F6" s="31">
        <v>253.7085093168579</v>
      </c>
    </row>
    <row r="7" spans="1:6" x14ac:dyDescent="0.25">
      <c r="A7" s="30">
        <v>0.096472</v>
      </c>
      <c r="B7" s="31">
        <v>171.39091920335363</v>
      </c>
      <c r="C7" s="31">
        <v>179.26791933886037</v>
      </c>
      <c r="D7" s="32">
        <v>188.2303748613271</v>
      </c>
      <c r="E7" s="31">
        <v>198.52322846548856</v>
      </c>
      <c r="F7" s="31">
        <v>210.4711152897071</v>
      </c>
    </row>
    <row r="8" spans="1:6" x14ac:dyDescent="0.25">
      <c r="A8" s="30">
        <v>0.106472</v>
      </c>
      <c r="B8" s="31">
        <v>151.08778329615163</v>
      </c>
      <c r="C8" s="31">
        <v>156.96184090072538</v>
      </c>
      <c r="D8" s="31">
        <v>163.54286400066718</v>
      </c>
      <c r="E8" s="31">
        <v>170.96952403690352</v>
      </c>
      <c r="F8" s="31">
        <v>179.4192968607386</v>
      </c>
    </row>
    <row r="9" spans="1:6" x14ac:dyDescent="0.25">
      <c r="A9" s="30">
        <v>0.116472</v>
      </c>
      <c r="B9" s="31">
        <v>134.85560511558245</v>
      </c>
      <c r="C9" s="31">
        <v>139.34987760926293</v>
      </c>
      <c r="D9" s="31">
        <v>144.32348128243515</v>
      </c>
      <c r="E9" s="31">
        <v>149.8595640638203</v>
      </c>
      <c r="F9" s="31">
        <v>156.06168529433543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21947400000</v>
      </c>
      <c r="C5" s="18">
        <v>20560900000</v>
      </c>
      <c r="D5" s="18">
        <v>19202600000</v>
      </c>
      <c r="E5" s="18">
        <v>18012200000</v>
      </c>
      <c r="F5" s="8" t="s">
        <v>84</v>
      </c>
    </row>
    <row r="6" spans="1:6" x14ac:dyDescent="0.25">
      <c r="A6" t="s">
        <v>44</v>
      </c>
      <c r="B6" s="18">
        <v>5779000000</v>
      </c>
      <c r="C6" s="18">
        <v>5411900000</v>
      </c>
      <c r="D6" s="18">
        <v>4947000000</v>
      </c>
      <c r="E6" s="18">
        <v>4507400000</v>
      </c>
      <c r="F6" s="8" t="s">
        <v>85</v>
      </c>
    </row>
    <row r="7" spans="1:6" x14ac:dyDescent="0.25">
      <c r="A7" t="s">
        <v>86</v>
      </c>
      <c r="B7" s="18">
        <v>585900000</v>
      </c>
      <c r="C7" s="18">
        <v>582400000</v>
      </c>
      <c r="D7" s="18">
        <v>561900000</v>
      </c>
      <c r="E7" s="18">
        <v>549300000</v>
      </c>
      <c r="F7" s="8" t="s">
        <v>87</v>
      </c>
    </row>
    <row r="8" spans="1:6" x14ac:dyDescent="0.25">
      <c r="A8" t="s">
        <v>88</v>
      </c>
      <c r="B8" s="18">
        <v>665100000</v>
      </c>
      <c r="C8" s="18">
        <v>547000000</v>
      </c>
      <c r="D8" s="18">
        <v>563400000</v>
      </c>
      <c r="E8" s="18">
        <v>571600000</v>
      </c>
      <c r="F8" s="8" t="s">
        <v>89</v>
      </c>
    </row>
    <row r="9" spans="1:6" x14ac:dyDescent="0.25">
      <c r="A9" t="s">
        <v>90</v>
      </c>
      <c r="B9" s="18">
        <v>1105800000</v>
      </c>
      <c r="C9" s="18">
        <v>1145500000</v>
      </c>
      <c r="D9" s="18">
        <v>1417400000</v>
      </c>
      <c r="E9" s="18">
        <v>938700000</v>
      </c>
      <c r="F9" s="8" t="s">
        <v>91</v>
      </c>
    </row>
    <row r="10" spans="1:6" x14ac:dyDescent="0.25">
      <c r="A10" t="s">
        <v>92</v>
      </c>
      <c r="B10" s="18">
        <v>5270800000</v>
      </c>
      <c r="C10" s="18">
        <v>9065400000</v>
      </c>
      <c r="D10" s="18">
        <v>3319900000</v>
      </c>
      <c r="E10" s="18">
        <v>3338900000</v>
      </c>
      <c r="F10" s="8" t="s">
        <v>93</v>
      </c>
    </row>
    <row r="11" spans="1:6" x14ac:dyDescent="0.25">
      <c r="A11" t="s">
        <v>94</v>
      </c>
      <c r="B11" s="18">
        <v>4230100000</v>
      </c>
      <c r="C11" s="18">
        <v>7846600000</v>
      </c>
      <c r="D11" s="18">
        <v>3297400000</v>
      </c>
      <c r="E11" s="18">
        <v>2083500000</v>
      </c>
      <c r="F11" s="8" t="s">
        <v>95</v>
      </c>
    </row>
    <row r="12" spans="1:6" x14ac:dyDescent="0.25">
      <c r="A12" t="s">
        <v>32</v>
      </c>
      <c r="B12" s="34">
        <v>397800000</v>
      </c>
      <c r="C12" s="34">
        <v>408700000</v>
      </c>
      <c r="D12" s="34">
        <v>412200000</v>
      </c>
      <c r="E12" s="34">
        <v>415700000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