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<sst xmlns="http://schemas.openxmlformats.org/spreadsheetml/2006/main" count="119" uniqueCount="106">
  <si>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Automatic Data Processing, Inc. (ADP)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</si>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</sst>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0.06070774807038637</v>
      </c>
    </row>
    <row r="7" spans="1:2" x14ac:dyDescent="0.25">
      <c r="A7" t="s">
        <v>4</v>
      </c>
      <c r="B7" s="5">
        <v>0.25859685617060424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0.028694728249434007</v>
      </c>
    </row>
    <row r="10" spans="1:3" x14ac:dyDescent="0.25">
      <c r="A10" t="s">
        <v>7</v>
      </c>
      <c r="B10" s="5">
        <v>0.029495497642719457</v>
      </c>
      <c r="C10" s="6" t="s">
        <v>8</v>
      </c>
    </row>
    <row r="11" spans="1:2" x14ac:dyDescent="0.25">
      <c r="A11" t="s">
        <v>9</v>
      </c>
      <c r="B11" s="5">
        <v>0.16378069410770377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18.426653010102278</v>
      </c>
    </row>
    <row r="14" spans="1:3" x14ac:dyDescent="0.25">
      <c r="A14" t="s">
        <v>12</v>
      </c>
      <c r="B14" s="5">
        <v>0.46680496961977447</v>
      </c>
      <c r="C14" s="6" t="s">
        <v>13</v>
      </c>
    </row>
    <row r="15" spans="1:3" x14ac:dyDescent="0.25">
      <c r="A15" t="s">
        <v>14</v>
      </c>
      <c r="B15" s="5">
        <v>0.009671648105886155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0.89347</v>
      </c>
      <c r="C19" s="6" t="s">
        <v>21</v>
      </c>
    </row>
    <row r="20" spans="1:2" x14ac:dyDescent="0.25">
      <c r="A20" t="s">
        <v>22</v>
      </c>
      <c r="B20" s="9">
        <f>B17+B19*B18</f>
        <v>0.08673378100000001</v>
      </c>
    </row>
    <row r="21" spans="1:3" x14ac:dyDescent="0.25">
      <c r="A21" t="s">
        <v>23</v>
      </c>
      <c r="B21" s="5">
        <v>0.06407555698162692</v>
      </c>
      <c r="C21" s="6" t="s">
        <v>24</v>
      </c>
    </row>
    <row r="22" spans="1:2" x14ac:dyDescent="0.25">
      <c r="A22" t="s">
        <v>25</v>
      </c>
      <c r="B22" s="10">
        <v>116243103744</v>
      </c>
    </row>
    <row r="23" spans="1:2" x14ac:dyDescent="0.25">
      <c r="A23" t="s">
        <v>26</v>
      </c>
      <c r="B23" s="10">
        <v>5270800000</v>
      </c>
    </row>
    <row r="24" spans="1:2" x14ac:dyDescent="0.25">
      <c r="A24" t="s">
        <v>27</v>
      </c>
      <c r="B24" s="9">
        <f>B22/(B22+B23)</f>
        <v>0.9566238937471363</v>
      </c>
    </row>
    <row r="25" spans="1:2" x14ac:dyDescent="0.25">
      <c r="A25" t="s">
        <v>28</v>
      </c>
      <c r="B25" s="9">
        <f>1-B24</f>
        <v>0.0433761062528637</v>
      </c>
    </row>
    <row r="26" spans="1:2" x14ac:dyDescent="0.25">
      <c r="A26" t="s">
        <v>29</v>
      </c>
      <c r="B26" s="11">
        <f>B24*B20+B25*B21*(1-B8)</f>
        <v>0.08516729235223011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21947400000</v>
      </c>
      <c r="C29" s="6" t="s">
        <v>32</v>
      </c>
    </row>
    <row r="30" spans="1:2" x14ac:dyDescent="0.25">
      <c r="A30" t="s">
        <v>33</v>
      </c>
      <c r="B30" s="10">
        <v>1040700000</v>
      </c>
    </row>
    <row r="31" spans="1:2" x14ac:dyDescent="0.25">
      <c r="A31" t="s">
        <v>34</v>
      </c>
      <c r="B31" s="12">
        <v>403300000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0.06070774807038637</v>
      </c>
      <c r="C5" s="5">
        <v>0.05755103439192144</v>
      </c>
      <c r="D5" s="5">
        <v>0.05348215509293126</v>
      </c>
      <c r="E5" s="5">
        <v>0.04941327579394108</v>
      </c>
      <c r="F5" s="5">
        <v>0.0453443964949509</v>
      </c>
      <c r="G5" s="5">
        <v>0.04127551719596072</v>
      </c>
      <c r="H5" s="5">
        <v>0.03720663789697054</v>
      </c>
      <c r="I5" s="5">
        <v>0.03313775859798036</v>
      </c>
      <c r="J5" s="5">
        <v>0.029068879298990182</v>
      </c>
      <c r="K5" s="5">
        <v>0.025</v>
      </c>
    </row>
    <row r="6" spans="1:11" x14ac:dyDescent="0.25">
      <c r="A6" t="s">
        <v>50</v>
      </c>
      <c r="B6" s="18">
        <f>Assumptions!B29*(1+B5)</f>
        <v>23279777229.999996</v>
      </c>
      <c r="C6" s="18">
        <f>B6*(1+C5)</f>
        <v>24619552489.999996</v>
      </c>
      <c r="D6" s="18">
        <f>C6*(1+D5)</f>
        <v>25936259214.588737</v>
      </c>
      <c r="E6" s="18">
        <f>D6*(1+E5)</f>
        <v>27217854744.22236</v>
      </c>
      <c r="F6" s="18">
        <f>E6*(1+F5)</f>
        <v>28452031941.48636</v>
      </c>
      <c r="G6" s="18">
        <f>F6*(1+G5)</f>
        <v>29626404275.1472</v>
      </c>
      <c r="H6" s="18">
        <f>G6*(1+H5)</f>
        <v>30728703171.201866</v>
      </c>
      <c r="I6" s="18">
        <f>H6*(1+I5)</f>
        <v>31746983518.918148</v>
      </c>
      <c r="J6" s="18">
        <f>I6*(1+J5)</f>
        <v>32669832750.93661</v>
      </c>
      <c r="K6" s="18">
        <f>J6*(1+K5)</f>
        <v>33486578569.710022</v>
      </c>
    </row>
    <row r="7" spans="1:11" x14ac:dyDescent="0.25">
      <c r="A7" t="s">
        <v>4</v>
      </c>
      <c r="B7" s="9">
        <f>Assumptions!B7</f>
        <v>0.25859685617060424</v>
      </c>
      <c r="C7" s="9">
        <f>Assumptions!B7</f>
        <v>0.25859685617060424</v>
      </c>
      <c r="D7" s="9">
        <f>Assumptions!B7</f>
        <v>0.25859685617060424</v>
      </c>
      <c r="E7" s="9">
        <f>Assumptions!B7</f>
        <v>0.25859685617060424</v>
      </c>
      <c r="F7" s="9">
        <f>Assumptions!B7</f>
        <v>0.25859685617060424</v>
      </c>
      <c r="G7" s="9">
        <f>Assumptions!B7</f>
        <v>0.25859685617060424</v>
      </c>
      <c r="H7" s="9">
        <f>Assumptions!B7</f>
        <v>0.25859685617060424</v>
      </c>
      <c r="I7" s="9">
        <f>Assumptions!B7</f>
        <v>0.25859685617060424</v>
      </c>
      <c r="J7" s="9">
        <f>Assumptions!B7</f>
        <v>0.25859685617060424</v>
      </c>
      <c r="K7" s="9">
        <f>Assumptions!B7</f>
        <v>0.25859685617060424</v>
      </c>
    </row>
    <row r="8" spans="1:11" x14ac:dyDescent="0.25">
      <c r="A8" t="s">
        <v>51</v>
      </c>
      <c r="B8" s="18">
        <f>B6*B7</f>
        <v>6020077204.030017</v>
      </c>
      <c r="C8" s="18">
        <f>C6*C7</f>
        <v>6366538874.241171</v>
      </c>
      <c r="D8" s="18">
        <f>D6*D7</f>
        <v>6707035093.718513</v>
      </c>
      <c r="E8" s="18">
        <f>E6*E7</f>
        <v>7038451668.564068</v>
      </c>
      <c r="F8" s="18">
        <f>F6*F7</f>
        <v>7357606011.733986</v>
      </c>
      <c r="G8" s="18">
        <f>G6*G7</f>
        <v>7661295005.192415</v>
      </c>
      <c r="H8" s="18">
        <f>H6*H7</f>
        <v>7946346034.272479</v>
      </c>
      <c r="I8" s="18">
        <f>I6*I7</f>
        <v>8209670130.89222</v>
      </c>
      <c r="J8" s="18">
        <f>J6*J7</f>
        <v>8448316041.011651</v>
      </c>
      <c r="K8" s="18">
        <f>K6*K7</f>
        <v>8659523942.036942</v>
      </c>
    </row>
    <row r="9" spans="1:11" x14ac:dyDescent="0.25">
      <c r="A9" t="s">
        <v>52</v>
      </c>
      <c r="B9" s="18">
        <f>B8*(1-Assumptions!B8)</f>
        <v>4755860991.183714</v>
      </c>
      <c r="C9" s="18">
        <f>C8*(1-Assumptions!B8)</f>
        <v>5029565710.650525</v>
      </c>
      <c r="D9" s="18">
        <f>D8*(1-Assumptions!B8)</f>
        <v>5298557724.037625</v>
      </c>
      <c r="E9" s="18">
        <f>E8*(1-Assumptions!B8)</f>
        <v>5560376818.165614</v>
      </c>
      <c r="F9" s="18">
        <f>F8*(1-Assumptions!B8)</f>
        <v>5812508749.269849</v>
      </c>
      <c r="G9" s="18">
        <f>G8*(1-Assumptions!B8)</f>
        <v>6052423054.102008</v>
      </c>
      <c r="H9" s="18">
        <f>H8*(1-Assumptions!B8)</f>
        <v>6277613367.075259</v>
      </c>
      <c r="I9" s="18">
        <f>I8*(1-Assumptions!B8)</f>
        <v>6485639403.404854</v>
      </c>
      <c r="J9" s="18">
        <f>J8*(1-Assumptions!B8)</f>
        <v>6674169672.399204</v>
      </c>
      <c r="K9" s="18">
        <f>K8*(1-Assumptions!B8)</f>
        <v>6841023914.209184</v>
      </c>
    </row>
    <row r="10" spans="1:11" x14ac:dyDescent="0.25">
      <c r="A10" t="s">
        <v>53</v>
      </c>
      <c r="B10" s="18">
        <f>B6*Assumptions!B9</f>
        <v>668006881.3222115</v>
      </c>
      <c r="C10" s="18">
        <f>C6*Assumptions!B9</f>
        <v>706451368.3232262</v>
      </c>
      <c r="D10" s="18">
        <f>D6*Assumptions!B9</f>
        <v>744233909.9695026</v>
      </c>
      <c r="E10" s="18">
        <f>E6*Assumptions!B9</f>
        <v>781008945.4180287</v>
      </c>
      <c r="F10" s="18">
        <f>F6*Assumptions!B9</f>
        <v>816423324.7051673</v>
      </c>
      <c r="G10" s="18">
        <f>G6*Assumptions!B9</f>
        <v>850121619.6832188</v>
      </c>
      <c r="H10" s="18">
        <f>H6*Assumptions!B9</f>
        <v>881751786.9551586</v>
      </c>
      <c r="I10" s="18">
        <f>I6*Assumptions!B9</f>
        <v>910971064.8146164</v>
      </c>
      <c r="J10" s="18">
        <f>J6*Assumptions!B9</f>
        <v>937451972.7425851</v>
      </c>
      <c r="K10" s="18">
        <f>K6*Assumptions!B9</f>
        <v>960888272.0611496</v>
      </c>
    </row>
    <row r="11" spans="1:11" x14ac:dyDescent="0.25">
      <c r="A11" t="s">
        <v>54</v>
      </c>
      <c r="B11" s="18">
        <f>-B6*B19</f>
        <v>-686648614.410499</v>
      </c>
      <c r="C11" s="18">
        <f>-C6*C19</f>
        <v>-704068376.9624261</v>
      </c>
      <c r="D11" s="18">
        <f>-D6*D19</f>
        <v>-718444069.665455</v>
      </c>
      <c r="E11" s="18">
        <f>-E6*E19</f>
        <v>-729515031.7094878</v>
      </c>
      <c r="F11" s="18">
        <f>-F6*F19</f>
        <v>-737056987.0549029</v>
      </c>
      <c r="G11" s="18">
        <f>-G6*G19</f>
        <v>-740887859.8831487</v>
      </c>
      <c r="H11" s="18">
        <f>-H6*H19</f>
        <v>-740872889.0596969</v>
      </c>
      <c r="I11" s="18">
        <f>-I6*I19</f>
        <v>-736928869.0863856</v>
      </c>
      <c r="J11" s="18">
        <f>-J6*J19</f>
        <v>-729027364.0824434</v>
      </c>
      <c r="K11" s="18">
        <f>-K6*K19</f>
        <v>-717196766.7993646</v>
      </c>
    </row>
    <row r="12" spans="1:11" x14ac:dyDescent="0.25">
      <c r="A12" t="s">
        <v>55</v>
      </c>
      <c r="B12" s="18">
        <f>-(B6-Assumptions!B29)*Assumptions!B11</f>
        <v>-218217667.54269904</v>
      </c>
      <c r="C12" s="18">
        <f>-(C6-B6)*Assumptions!B11</f>
        <v>-219429322.03112927</v>
      </c>
      <c r="D12" s="18">
        <f>-(D6-C6)*Assumptions!B11</f>
        <v>-215651141.2894252</v>
      </c>
      <c r="E12" s="18">
        <f>-(E6-D6)*Assumptions!B11</f>
        <v>-209900605.40872473</v>
      </c>
      <c r="F12" s="18">
        <f>-(F6-E6)*Assumptions!B11</f>
        <v>-202134398.01979834</v>
      </c>
      <c r="G12" s="18">
        <f>-(G6-F6)*Assumptions!B11</f>
        <v>-192339515.94785672</v>
      </c>
      <c r="H12" s="18">
        <f>-(H6-G6)*Assumptions!B11</f>
        <v>-180535278.3099886</v>
      </c>
      <c r="I12" s="18">
        <f>-(I6-H6)*Assumptions!B11</f>
        <v>-166774662.1452066</v>
      </c>
      <c r="J12" s="18">
        <f>-(J6-I6)*Assumptions!B11</f>
        <v>-151144887.77674526</v>
      </c>
      <c r="K12" s="18">
        <f>-(K6-J6)*Assumptions!B11</f>
        <v>-133767197.10827406</v>
      </c>
    </row>
    <row r="13" spans="1:11" x14ac:dyDescent="0.25">
      <c r="A13" s="19" t="s">
        <v>56</v>
      </c>
      <c r="B13" s="20">
        <f>B9+B10+B11+B12</f>
        <v>4519001590.552728</v>
      </c>
      <c r="C13" s="20">
        <f>C9+C10+C11+C12</f>
        <v>4812519379.980196</v>
      </c>
      <c r="D13" s="20">
        <f>D9+D10+D11+D12</f>
        <v>5108696423.052248</v>
      </c>
      <c r="E13" s="20">
        <f>E9+E10+E11+E12</f>
        <v>5401970126.46543</v>
      </c>
      <c r="F13" s="20">
        <f>F9+F10+F11+F12</f>
        <v>5689740688.900314</v>
      </c>
      <c r="G13" s="20">
        <f>G9+G10+G11+G12</f>
        <v>5969317297.954222</v>
      </c>
      <c r="H13" s="20">
        <f>H9+H10+H11+H12</f>
        <v>6237956986.660731</v>
      </c>
      <c r="I13" s="20">
        <f>I9+I10+I11+I12</f>
        <v>6492906936.987878</v>
      </c>
      <c r="J13" s="20">
        <f>J9+J10+J11+J12</f>
        <v>6731449393.282601</v>
      </c>
      <c r="K13" s="20">
        <f>K9+K10+K11+K12</f>
        <v>6950948222.362694</v>
      </c>
    </row>
    <row r="14" spans="1:11" x14ac:dyDescent="0.25">
      <c r="A14" t="s">
        <v>57</v>
      </c>
      <c r="B14" s="21">
        <f>1/(1+Assumptions!$B$26)^(1-0.5*Assumptions!$B$32)</f>
        <v>0.9599567181439655</v>
      </c>
      <c r="C14" s="21">
        <f>1/(1+Assumptions!$B$26)^(2-0.5*Assumptions!$B$32)</f>
        <v>0.884616339719514</v>
      </c>
      <c r="D14" s="21">
        <f>1/(1+Assumptions!$B$26)^(3-0.5*Assumptions!$B$32)</f>
        <v>0.8151889076955149</v>
      </c>
      <c r="E14" s="21">
        <f>1/(1+Assumptions!$B$26)^(4-0.5*Assumptions!$B$32)</f>
        <v>0.7512103557125236</v>
      </c>
      <c r="F14" s="21">
        <f>1/(1+Assumptions!$B$26)^(5-0.5*Assumptions!$B$32)</f>
        <v>0.6922530387772609</v>
      </c>
      <c r="G14" s="21">
        <f>1/(1+Assumptions!$B$26)^(6-0.5*Assumptions!$B$32)</f>
        <v>0.6379228748009161</v>
      </c>
      <c r="H14" s="21">
        <f>1/(1+Assumptions!$B$26)^(7-0.5*Assumptions!$B$32)</f>
        <v>0.5878567104783833</v>
      </c>
      <c r="I14" s="21">
        <f>1/(1+Assumptions!$B$26)^(8-0.5*Assumptions!$B$32)</f>
        <v>0.5417198939014586</v>
      </c>
      <c r="J14" s="21">
        <f>1/(1+Assumptions!$B$26)^(9-0.5*Assumptions!$B$32)</f>
        <v>0.4992040376808776</v>
      </c>
      <c r="K14" s="21">
        <f>1/(1+Assumptions!$B$26)^(10-0.5*Assumptions!$B$32)</f>
        <v>0.46002495762546713</v>
      </c>
    </row>
    <row r="15" spans="1:11" x14ac:dyDescent="0.25">
      <c r="A15" s="19" t="s">
        <v>58</v>
      </c>
      <c r="B15" s="20">
        <f>B13*B14</f>
        <v>4338045936.154357</v>
      </c>
      <c r="C15" s="20">
        <f>C13*C14</f>
        <v>4257233278.747306</v>
      </c>
      <c r="D15" s="20">
        <f>D13*D14</f>
        <v>4164552656.855946</v>
      </c>
      <c r="E15" s="20">
        <f>E13*E14</f>
        <v>4058015900.250522</v>
      </c>
      <c r="F15" s="20">
        <f>F13*F14</f>
        <v>3938740281.745868</v>
      </c>
      <c r="G15" s="20">
        <f>G13*G14</f>
        <v>3807964051.309794</v>
      </c>
      <c r="H15" s="20">
        <f>H13*H14</f>
        <v>3667024874.2840257</v>
      </c>
      <c r="I15" s="20">
        <f>I13*I14</f>
        <v>3517336857.0171175</v>
      </c>
      <c r="J15" s="20">
        <f>J13*J14</f>
        <v>3360366716.5711684</v>
      </c>
      <c r="K15" s="20">
        <f>K13*K14</f>
        <v>3197609661.4492145</v>
      </c>
    </row>
    <row r="17" spans="1:2" x14ac:dyDescent="0.25">
      <c r="A17" s="22" t="s">
        <v>59</v>
      </c>
      <c r="B17" s="23">
        <f>SUM(B15:K15)</f>
        <v>38306890214.385315</v>
      </c>
    </row>
    <row r="19" spans="1:11" x14ac:dyDescent="0.25">
      <c r="A19" t="s">
        <v>7</v>
      </c>
      <c r="B19" s="9">
        <f>Assumptions!$B$10+($B$20-Assumptions!$B$10)*0/9</f>
        <v>0.029495497642719457</v>
      </c>
      <c r="C19" s="9">
        <f>Assumptions!$B$10+($B$20-Assumptions!$B$10)*1/9</f>
        <v>0.028597935614321404</v>
      </c>
      <c r="D19" s="9">
        <f>Assumptions!$B$10+($B$20-Assumptions!$B$10)*2/9</f>
        <v>0.027700373585923352</v>
      </c>
      <c r="E19" s="9">
        <f>Assumptions!$B$10+($B$20-Assumptions!$B$10)*3/9</f>
        <v>0.0268028115575253</v>
      </c>
      <c r="F19" s="9">
        <f>Assumptions!$B$10+($B$20-Assumptions!$B$10)*4/9</f>
        <v>0.025905249529127247</v>
      </c>
      <c r="G19" s="9">
        <f>Assumptions!$B$10+($B$20-Assumptions!$B$10)*5/9</f>
        <v>0.025007687500729195</v>
      </c>
      <c r="H19" s="9">
        <f>Assumptions!$B$10+($B$20-Assumptions!$B$10)*6/9</f>
        <v>0.024110125472331143</v>
      </c>
      <c r="I19" s="9">
        <f>Assumptions!$B$10+($B$20-Assumptions!$B$10)*7/9</f>
        <v>0.023212563443933087</v>
      </c>
      <c r="J19" s="9">
        <f>Assumptions!$B$10+($B$20-Assumptions!$B$10)*8/9</f>
        <v>0.022315001415535034</v>
      </c>
      <c r="K19" s="9">
        <f>Assumptions!$B$10+($B$20-Assumptions!$B$10)*9/9</f>
        <v>0.021417439387136982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0.021417439387136982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6950948222.362694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7344268029.82238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0.05355555666076818</v>
      </c>
    </row>
    <row r="7" spans="1:2" x14ac:dyDescent="0.25">
      <c r="A7" t="s">
        <v>66</v>
      </c>
      <c r="B7" s="18">
        <f>-MAX(B5,0)*B6</f>
        <v>-393326362.6030208</v>
      </c>
    </row>
    <row r="8" spans="1:2" x14ac:dyDescent="0.25">
      <c r="A8" t="s">
        <v>67</v>
      </c>
      <c r="B8" s="18">
        <f>IF(OR(Assumptions!$B$33=0,Assumptions!B12&lt;=0),B5,MAX(B5+B7,0))</f>
        <v>6950941667.219359</v>
      </c>
    </row>
    <row r="9" spans="1:2" x14ac:dyDescent="0.25">
      <c r="A9" t="s">
        <v>68</v>
      </c>
      <c r="B9" s="18">
        <f>B8*(1+Assumptions!B12)/(Assumptions!B26-Assumptions!B12)</f>
        <v>118415087838.59648</v>
      </c>
    </row>
    <row r="10" spans="1:2" x14ac:dyDescent="0.25">
      <c r="A10" t="s">
        <v>69</v>
      </c>
      <c r="B10" s="18">
        <f>B9/(1+Assumptions!B26)^(10-0.5*Assumptions!B32)</f>
        <v>54473895765.16631</v>
      </c>
    </row>
    <row r="11" spans="1:2" x14ac:dyDescent="0.25">
      <c r="A11" t="s">
        <v>70</v>
      </c>
      <c r="B11" s="18">
        <f>Forecast!B17+B10</f>
        <v>92780785979.55164</v>
      </c>
    </row>
    <row r="12" spans="1:2" x14ac:dyDescent="0.25">
      <c r="A12" t="s">
        <v>71</v>
      </c>
      <c r="B12" s="18">
        <f>-Assumptions!B30</f>
        <v>-1040700000</v>
      </c>
    </row>
    <row r="13" spans="1:2" x14ac:dyDescent="0.25">
      <c r="A13" t="s">
        <v>72</v>
      </c>
      <c r="B13" s="18">
        <f>B11+B12</f>
        <v>91740085979.55164</v>
      </c>
    </row>
    <row r="14" spans="1:2" x14ac:dyDescent="0.25">
      <c r="A14" s="19" t="s">
        <v>73</v>
      </c>
      <c r="B14" s="24">
        <f>B13/Assumptions!B31</f>
        <v>227.47355809459864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9620412214.098091</v>
      </c>
    </row>
    <row r="18" spans="1:2" x14ac:dyDescent="0.25">
      <c r="A18" t="s">
        <v>68</v>
      </c>
      <c r="B18" s="18">
        <f>B17*Assumptions!B13</f>
        <v>177271997683.33533</v>
      </c>
    </row>
    <row r="19" spans="1:2" x14ac:dyDescent="0.25">
      <c r="A19" t="s">
        <v>69</v>
      </c>
      <c r="B19" s="18">
        <f>B18/(1+Assumptions!B26)^(10-0.5*Assumptions!B32)</f>
        <v>81549543222.45824</v>
      </c>
    </row>
    <row r="20" spans="1:2" x14ac:dyDescent="0.25">
      <c r="A20" t="s">
        <v>70</v>
      </c>
      <c r="B20" s="18">
        <f>Forecast!B17+B19</f>
        <v>119856433436.84355</v>
      </c>
    </row>
    <row r="21" spans="1:2" x14ac:dyDescent="0.25">
      <c r="A21" t="s">
        <v>71</v>
      </c>
      <c r="B21" s="18">
        <f>-Assumptions!B30</f>
        <v>-1040700000</v>
      </c>
    </row>
    <row r="22" spans="1:2" x14ac:dyDescent="0.25">
      <c r="A22" t="s">
        <v>72</v>
      </c>
      <c r="B22" s="18">
        <f>B20+B21</f>
        <v>118815733436.84355</v>
      </c>
    </row>
    <row r="23" spans="1:2" x14ac:dyDescent="0.25">
      <c r="A23" s="19" t="s">
        <v>73</v>
      </c>
      <c r="B23" s="25">
        <f>B22/Assumptions!B31</f>
        <v>294.608810902166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293.84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227.47355809459864</v>
      </c>
    </row>
    <row r="29" spans="1:2" x14ac:dyDescent="0.25">
      <c r="A29" s="19" t="s">
        <v>81</v>
      </c>
      <c r="B29" s="11">
        <f>B28/B26-1</f>
        <v>-0.22585911348149112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0.065167</v>
      </c>
      <c r="B5" s="31">
        <v>298.1983671403771</v>
      </c>
      <c r="C5" s="31">
        <v>317.9382040050954</v>
      </c>
      <c r="D5" s="31">
        <v>342.7110804250819</v>
      </c>
      <c r="E5" s="31">
        <v>374.6637701748702</v>
      </c>
      <c r="F5" s="31">
        <v>417.36630673299754</v>
      </c>
    </row>
    <row r="6" spans="1:6" x14ac:dyDescent="0.25">
      <c r="A6" s="30">
        <v>0.075167</v>
      </c>
      <c r="B6" s="31">
        <v>247.1369254081207</v>
      </c>
      <c r="C6" s="31">
        <v>259.1163184101969</v>
      </c>
      <c r="D6" s="31">
        <v>273.5733524835603</v>
      </c>
      <c r="E6" s="31">
        <v>291.3308543837915</v>
      </c>
      <c r="F6" s="31">
        <v>313.62135373478617</v>
      </c>
    </row>
    <row r="7" spans="1:6" x14ac:dyDescent="0.25">
      <c r="A7" s="30">
        <v>0.085167</v>
      </c>
      <c r="B7" s="31">
        <v>210.72178666283008</v>
      </c>
      <c r="C7" s="31">
        <v>218.4228720229209</v>
      </c>
      <c r="D7" s="32">
        <v>227.4746810061814</v>
      </c>
      <c r="E7" s="31">
        <v>238.24447763544327</v>
      </c>
      <c r="F7" s="31">
        <v>251.24594251130074</v>
      </c>
    </row>
    <row r="8" spans="1:6" x14ac:dyDescent="0.25">
      <c r="A8" s="30">
        <v>0.095167</v>
      </c>
      <c r="B8" s="31">
        <v>183.46607956905814</v>
      </c>
      <c r="C8" s="31">
        <v>188.61778703084244</v>
      </c>
      <c r="D8" s="31">
        <v>194.5611499026714</v>
      </c>
      <c r="E8" s="31">
        <v>201.4783897253661</v>
      </c>
      <c r="F8" s="31">
        <v>209.61229996150522</v>
      </c>
    </row>
    <row r="9" spans="1:6" x14ac:dyDescent="0.25">
      <c r="A9" s="30">
        <v>0.105167</v>
      </c>
      <c r="B9" s="31">
        <v>162.3174711989903</v>
      </c>
      <c r="C9" s="31">
        <v>165.8617540304621</v>
      </c>
      <c r="D9" s="31">
        <v>169.89578977496328</v>
      </c>
      <c r="E9" s="31">
        <v>174.51731139636686</v>
      </c>
      <c r="F9" s="31">
        <v>179.8519091030833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21947400000</v>
      </c>
      <c r="C5" s="18">
        <v>20560900000</v>
      </c>
      <c r="D5" s="18">
        <v>19202600000</v>
      </c>
      <c r="E5" s="18">
        <v>18012200000</v>
      </c>
      <c r="F5" s="6" t="s">
        <v>91</v>
      </c>
    </row>
    <row r="6" spans="1:6" x14ac:dyDescent="0.25">
      <c r="A6" t="s">
        <v>51</v>
      </c>
      <c r="B6" s="18">
        <v>5779000000</v>
      </c>
      <c r="C6" s="18">
        <v>5411900000</v>
      </c>
      <c r="D6" s="18">
        <v>4947000000</v>
      </c>
      <c r="E6" s="18">
        <v>4507400000</v>
      </c>
      <c r="F6" s="6" t="s">
        <v>92</v>
      </c>
    </row>
    <row r="7" spans="1:6" x14ac:dyDescent="0.25">
      <c r="A7" t="s">
        <v>93</v>
      </c>
      <c r="B7" s="18">
        <v>585900000</v>
      </c>
      <c r="C7" s="18">
        <v>582400000</v>
      </c>
      <c r="D7" s="18">
        <v>561900000</v>
      </c>
      <c r="E7" s="18">
        <v>549300000</v>
      </c>
      <c r="F7" s="6" t="s">
        <v>94</v>
      </c>
    </row>
    <row r="8" spans="1:6" x14ac:dyDescent="0.25">
      <c r="A8" t="s">
        <v>95</v>
      </c>
      <c r="B8" s="18">
        <v>665100000</v>
      </c>
      <c r="C8" s="18">
        <v>547000000</v>
      </c>
      <c r="D8" s="18">
        <v>563400000</v>
      </c>
      <c r="E8" s="18">
        <v>571600000</v>
      </c>
      <c r="F8" s="6" t="s">
        <v>96</v>
      </c>
    </row>
    <row r="9" spans="1:6" x14ac:dyDescent="0.25">
      <c r="A9" t="s">
        <v>97</v>
      </c>
      <c r="B9" s="18">
        <v>1105800000</v>
      </c>
      <c r="C9" s="18">
        <v>1145500000</v>
      </c>
      <c r="D9" s="18">
        <v>1417400000</v>
      </c>
      <c r="E9" s="18">
        <v>938700000</v>
      </c>
      <c r="F9" s="6" t="s">
        <v>98</v>
      </c>
    </row>
    <row r="10" spans="1:6" x14ac:dyDescent="0.25">
      <c r="A10" t="s">
        <v>99</v>
      </c>
      <c r="B10" s="18">
        <v>5270800000</v>
      </c>
      <c r="C10" s="18">
        <v>9065400000</v>
      </c>
      <c r="D10" s="18">
        <v>3319900000</v>
      </c>
      <c r="E10" s="18">
        <v>3338900000</v>
      </c>
      <c r="F10" s="6" t="s">
        <v>100</v>
      </c>
    </row>
    <row r="11" spans="1:6" x14ac:dyDescent="0.25">
      <c r="A11" t="s">
        <v>101</v>
      </c>
      <c r="B11" s="18">
        <v>4230100000</v>
      </c>
      <c r="C11" s="18">
        <v>7846600000</v>
      </c>
      <c r="D11" s="18">
        <v>3297400000</v>
      </c>
      <c r="E11" s="18">
        <v>2083500000</v>
      </c>
      <c r="F11" s="6" t="s">
        <v>102</v>
      </c>
    </row>
    <row r="12" spans="1:6" x14ac:dyDescent="0.25">
      <c r="A12" t="s">
        <v>34</v>
      </c>
      <c r="B12" s="34">
        <v>403300000</v>
      </c>
      <c r="C12" s="34">
        <v>408700000</v>
      </c>
      <c r="D12" s="34">
        <v>412200000</v>
      </c>
      <c r="E12" s="34">
        <v>415700000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