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<sst xmlns="http://schemas.openxmlformats.org/spreadsheetml/2006/main" count="113" uniqueCount="101">
  <si>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adidas AG (ADS.DE)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</si>
  <si>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</si>
  <si>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</si>
  <si>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</si>
  <si>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</si>
  <si>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</si>
  <si>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</si>
  <si>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</si>
  <si>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</si>
  <si>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</si>
  <si>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</si>
  <si>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</si>
  <si>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</si>
  <si>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</si>
  <si>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</si>
  <si>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</si>
  <si>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</si>
  <si>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</si>
  <si>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</si>
  <si>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</si>
  <si>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</si>
  <si>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</si>
  <si>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</si>
  <si>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</si>
  <si>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</si>
  <si>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</si>
  <si>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</si>
  <si>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</si>
  <si>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</si>
  <si>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</si>
  <si>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</si>
  <si>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</si>
  <si>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</si>
  <si>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</si>
  <si>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</si>
  <si>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</si>
  <si>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</si>
  <si>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</si>
  <si>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</si>
  <si>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</si>
  <si>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</si>
  <si>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</si>
  <si>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</si>
  <si>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</si>
  <si>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</si>
  <si>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</si>
  <si>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</si>
  <si>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</si>
  <si>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</si>
  <si>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</si>
  <si>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</si>
  <si>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</si>
  <si>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</si>
  <si>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</si>
  <si>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</si>
  <si>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</si>
  <si>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</si>
  <si>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</si>
  <si>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</si>
  <si>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</si>
  <si>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</si>
  <si>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</si>
  <si>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</si>
  <si>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</si>
  <si>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</si>
  <si>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</si>
  <si>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</si>
  <si>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</si>
  <si>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</si>
  <si>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</si>
  <si>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</si>
  <si>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</si>
  <si>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</si>
  <si>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</si>
  <si>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</si>
  <si>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</si>
  <si>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</si>
  <si>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</si>
  <si>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</si>
  <si>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</si>
  <si>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</si>
  <si>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</si>
  <si>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</si>
  <si>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</si>
  <si>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</si>
  <si>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</si>
  <si>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</si>
  <si>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</si>
  <si>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</si>
  <si>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</si>
  <si>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</si>
  <si>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</si>
  <si>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</si>
  <si>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</si>
  <si>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</si>
  <si>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</si>
  <si>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</si>
  <si>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</si>
  <si>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2.41% of revenue against depreciation of 4.84%. A business cannot depreciate more than it invests indefinitely. Capex has been set to 4.84% of revenue so the forecast is not handed free growth. Override it if the reported figure is right.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</si>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</sst>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0.032959181527404846</v>
      </c>
    </row>
    <row r="7" spans="1:2" x14ac:dyDescent="0.25">
      <c r="A7" t="s">
        <v>5</v>
      </c>
      <c r="B7" s="6">
        <v>0.045746197921578094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0.051714497238051785</v>
      </c>
    </row>
    <row r="10" spans="1:2" x14ac:dyDescent="0.25">
      <c r="A10" t="s">
        <v>8</v>
      </c>
      <c r="B10" s="6">
        <v>0.04836034072321557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9.094498715273414</v>
      </c>
    </row>
    <row r="14" spans="1:3" x14ac:dyDescent="0.25">
      <c r="A14" t="s">
        <v>12</v>
      </c>
      <c r="B14" s="6">
        <v>0.0869032663428448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1.1286399999999999</v>
      </c>
      <c r="C19" s="8" t="s">
        <v>19</v>
      </c>
    </row>
    <row r="20" spans="1:2" x14ac:dyDescent="0.25">
      <c r="A20" t="s">
        <v>20</v>
      </c>
      <c r="B20" s="10">
        <f>B17+B19*B18</f>
        <v>0.09371839999999998</v>
      </c>
    </row>
    <row r="21" spans="1:3" x14ac:dyDescent="0.25">
      <c r="A21" t="s">
        <v>21</v>
      </c>
      <c r="B21" s="6">
        <v>0.04092255227497083</v>
      </c>
      <c r="C21" s="8" t="s">
        <v>22</v>
      </c>
    </row>
    <row r="22" spans="1:2" x14ac:dyDescent="0.25">
      <c r="A22" t="s">
        <v>23</v>
      </c>
      <c r="B22" s="11">
        <v>24902694912</v>
      </c>
    </row>
    <row r="23" spans="1:2" x14ac:dyDescent="0.25">
      <c r="A23" t="s">
        <v>24</v>
      </c>
      <c r="B23" s="11">
        <v>5556000000</v>
      </c>
    </row>
    <row r="24" spans="1:2" x14ac:dyDescent="0.25">
      <c r="A24" t="s">
        <v>25</v>
      </c>
      <c r="B24" s="10">
        <f>B22/(B22+B23)</f>
        <v>0.817589032752317</v>
      </c>
    </row>
    <row r="25" spans="1:2" x14ac:dyDescent="0.25">
      <c r="A25" t="s">
        <v>26</v>
      </c>
      <c r="B25" s="10">
        <f>1-B24</f>
        <v>0.18241096724768302</v>
      </c>
    </row>
    <row r="26" spans="1:2" x14ac:dyDescent="0.25">
      <c r="A26" t="s">
        <v>27</v>
      </c>
      <c r="B26" s="12">
        <f>B24*B20+B25*B21*(1-B8)</f>
        <v>0.08184844164699963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24811000000</v>
      </c>
      <c r="C29" s="8" t="s">
        <v>30</v>
      </c>
    </row>
    <row r="30" spans="1:2" x14ac:dyDescent="0.25">
      <c r="A30" t="s">
        <v>31</v>
      </c>
      <c r="B30" s="11">
        <v>4036000000</v>
      </c>
    </row>
    <row r="31" spans="1:2" x14ac:dyDescent="0.25">
      <c r="A31" t="s">
        <v>32</v>
      </c>
      <c r="B31" s="13">
        <v>178565330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0.032959181527404846</v>
      </c>
      <c r="C5" s="10">
        <f>Assumptions!B6</f>
        <v>0.032959181527404846</v>
      </c>
      <c r="D5" s="10">
        <f>Assumptions!B6</f>
        <v>0.032959181527404846</v>
      </c>
      <c r="E5" s="10">
        <f>Assumptions!B6</f>
        <v>0.032959181527404846</v>
      </c>
      <c r="F5" s="10">
        <f>Assumptions!B6</f>
        <v>0.032959181527404846</v>
      </c>
    </row>
    <row r="6" spans="1:6" x14ac:dyDescent="0.25">
      <c r="A6" t="s">
        <v>43</v>
      </c>
      <c r="B6" s="18">
        <f>Assumptions!B29*(1+B5)</f>
        <v>25628750252.876442</v>
      </c>
      <c r="C6" s="18">
        <f>B6*(1+C5)</f>
        <v>26473452884.78152</v>
      </c>
      <c r="D6" s="18">
        <f>C6*(1+D5)</f>
        <v>27345996224.068233</v>
      </c>
      <c r="E6" s="18">
        <f>D6*(1+E5)</f>
        <v>28247297877.665028</v>
      </c>
      <c r="F6" s="18">
        <f>E6*(1+F5)</f>
        <v>29178305696.073666</v>
      </c>
    </row>
    <row r="7" spans="1:6" x14ac:dyDescent="0.25">
      <c r="A7" t="s">
        <v>5</v>
      </c>
      <c r="B7" s="10">
        <f>Assumptions!B7</f>
        <v>0.045746197921578094</v>
      </c>
      <c r="C7" s="10">
        <f>Assumptions!B7</f>
        <v>0.045746197921578094</v>
      </c>
      <c r="D7" s="10">
        <f>Assumptions!B7</f>
        <v>0.045746197921578094</v>
      </c>
      <c r="E7" s="10">
        <f>Assumptions!B7</f>
        <v>0.045746197921578094</v>
      </c>
      <c r="F7" s="10">
        <f>Assumptions!B7</f>
        <v>0.045746197921578094</v>
      </c>
    </row>
    <row r="8" spans="1:6" x14ac:dyDescent="0.25">
      <c r="A8" t="s">
        <v>44</v>
      </c>
      <c r="B8" s="18">
        <f>B6*B7</f>
        <v>1172417881.5507803</v>
      </c>
      <c r="C8" s="18">
        <f>C6*C7</f>
        <v>1211059815.334788</v>
      </c>
      <c r="D8" s="18">
        <f>D6*D7</f>
        <v>1250975355.6289527</v>
      </c>
      <c r="E8" s="18">
        <f>E6*E7</f>
        <v>1292206479.4614372</v>
      </c>
      <c r="F8" s="18">
        <f>F6*F7</f>
        <v>1334796547.3888953</v>
      </c>
    </row>
    <row r="9" spans="1:6" x14ac:dyDescent="0.25">
      <c r="A9" t="s">
        <v>45</v>
      </c>
      <c r="B9" s="18">
        <f>B8*(1-Assumptions!B8)</f>
        <v>820692517.0855461</v>
      </c>
      <c r="C9" s="18">
        <f>C8*(1-Assumptions!B8)</f>
        <v>847741870.7343516</v>
      </c>
      <c r="D9" s="18">
        <f>D8*(1-Assumptions!B8)</f>
        <v>875682748.9402668</v>
      </c>
      <c r="E9" s="18">
        <f>E8*(1-Assumptions!B8)</f>
        <v>904544535.623006</v>
      </c>
      <c r="F9" s="18">
        <f>F8*(1-Assumptions!B8)</f>
        <v>934357583.1722267</v>
      </c>
    </row>
    <row r="10" spans="1:6" x14ac:dyDescent="0.25">
      <c r="A10" t="s">
        <v>46</v>
      </c>
      <c r="B10" s="18">
        <f>B6*Assumptions!B9</f>
        <v>1325377934.1670978</v>
      </c>
      <c r="C10" s="18">
        <f>C6*Assumptions!B9</f>
        <v>1369061306.091728</v>
      </c>
      <c r="D10" s="18">
        <f>D6*Assumptions!B9</f>
        <v>1414184446.2013512</v>
      </c>
      <c r="E10" s="18">
        <f>E6*Assumptions!B9</f>
        <v>1460794808.076934</v>
      </c>
      <c r="F10" s="18">
        <f>F6*Assumptions!B9</f>
        <v>1508941409.3306322</v>
      </c>
    </row>
    <row r="11" spans="1:6" x14ac:dyDescent="0.25">
      <c r="A11" t="s">
        <v>47</v>
      </c>
      <c r="B11" s="18">
        <f>-B6*Assumptions!B10</f>
        <v>-1239415094.539302</v>
      </c>
      <c r="C11" s="18">
        <f>-C6*Assumptions!B10</f>
        <v>-1280265201.6280286</v>
      </c>
      <c r="D11" s="18">
        <f>-D6*Assumptions!B10</f>
        <v>-1322461694.8117063</v>
      </c>
      <c r="E11" s="18">
        <f>-E6*Assumptions!B10</f>
        <v>-1366048949.874045</v>
      </c>
      <c r="F11" s="18">
        <f>-F6*Assumptions!B10</f>
        <v>-1411072805.1882641</v>
      </c>
    </row>
    <row r="12" spans="1:6" x14ac:dyDescent="0.25">
      <c r="A12" t="s">
        <v>48</v>
      </c>
      <c r="B12" s="18">
        <f>-(B6-Assumptions!B29)*Assumptions!B11</f>
        <v>-817750252.876442</v>
      </c>
      <c r="C12" s="18">
        <f>-(C6-B6)*Assumptions!B11</f>
        <v>-844702631.9050789</v>
      </c>
      <c r="D12" s="18">
        <f>-(D6-C6)*Assumptions!B11</f>
        <v>-872543339.2867126</v>
      </c>
      <c r="E12" s="18">
        <f>-(E6-D6)*Assumptions!B11</f>
        <v>-901301653.5967941</v>
      </c>
      <c r="F12" s="18">
        <f>-(F6-E6)*Assumptions!B11</f>
        <v>-931007818.408638</v>
      </c>
    </row>
    <row r="13" spans="1:6" x14ac:dyDescent="0.25">
      <c r="A13" s="19" t="s">
        <v>49</v>
      </c>
      <c r="B13" s="20">
        <f>B9+B10+B11+B12</f>
        <v>88905103.8369</v>
      </c>
      <c r="C13" s="20">
        <f>C9+C10+C11+C12</f>
        <v>91835343.29297185</v>
      </c>
      <c r="D13" s="20">
        <f>D9+D10+D11+D12</f>
        <v>94862161.04319882</v>
      </c>
      <c r="E13" s="20">
        <f>E9+E10+E11+E12</f>
        <v>97988740.22910118</v>
      </c>
      <c r="F13" s="20">
        <f>F9+F10+F11+F12</f>
        <v>101218368.90595698</v>
      </c>
    </row>
    <row r="14" spans="1:6" x14ac:dyDescent="0.25">
      <c r="A14" t="s">
        <v>50</v>
      </c>
      <c r="B14" s="21">
        <f>1/(1+Assumptions!$B$26)^(1-0.5*Assumptions!$B$32)</f>
        <v>0.9614280486995634</v>
      </c>
      <c r="C14" s="21">
        <f>1/(1+Assumptions!$B$26)^(2-0.5*Assumptions!$B$32)</f>
        <v>0.8886901452073003</v>
      </c>
      <c r="D14" s="21">
        <f>1/(1+Assumptions!$B$26)^(3-0.5*Assumptions!$B$32)</f>
        <v>0.8214553083372415</v>
      </c>
      <c r="E14" s="21">
        <f>1/(1+Assumptions!$B$26)^(4-0.5*Assumptions!$B$32)</f>
        <v>0.7593071974912335</v>
      </c>
      <c r="F14" s="21">
        <f>1/(1+Assumptions!$B$26)^(5-0.5*Assumptions!$B$32)</f>
        <v>0.7018609707800372</v>
      </c>
    </row>
    <row r="15" spans="1:6" x14ac:dyDescent="0.25">
      <c r="A15" s="19" t="s">
        <v>51</v>
      </c>
      <c r="B15" s="20">
        <f>B13*B14</f>
        <v>85475860.50134283</v>
      </c>
      <c r="C15" s="20">
        <f>C13*C14</f>
        <v>81613164.56619342</v>
      </c>
      <c r="D15" s="20">
        <f>D13*D14</f>
        <v>77925025.74927795</v>
      </c>
      <c r="E15" s="20">
        <f>E13*E14</f>
        <v>74403555.72905532</v>
      </c>
      <c r="F15" s="20">
        <f>F13*F14</f>
        <v>71041222.6611069</v>
      </c>
    </row>
    <row r="17" spans="1:2" x14ac:dyDescent="0.25">
      <c r="A17" s="22" t="s">
        <v>52</v>
      </c>
      <c r="B17" s="23">
        <f>SUM(B15:F15)</f>
        <v>390458829.20697635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101218368.90595698</v>
      </c>
    </row>
    <row r="5" spans="1:2" x14ac:dyDescent="0.25">
      <c r="A5" t="s">
        <v>56</v>
      </c>
      <c r="B5" s="18">
        <f>IF(Assumptions!$B$33=0,B4,B4-Forecast!F11-Forecast!F10-Forecast!F12)</f>
        <v>1002865606.0718843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0.28767618355530755</v>
      </c>
    </row>
    <row r="7" spans="1:2" x14ac:dyDescent="0.25">
      <c r="A7" t="s">
        <v>58</v>
      </c>
      <c r="B7" s="18">
        <f>-MAX(Forecast!F9,0)*B6</f>
        <v>-288500550.17364013</v>
      </c>
    </row>
    <row r="8" spans="1:2" x14ac:dyDescent="0.25">
      <c r="A8" t="s">
        <v>59</v>
      </c>
      <c r="B8" s="18">
        <f>IF(OR(Assumptions!$B$33=0,Assumptions!B12&lt;=0),B5,MAX(B5+B7,0))</f>
        <v>714365055.8982441</v>
      </c>
    </row>
    <row r="9" spans="1:2" x14ac:dyDescent="0.25">
      <c r="A9" t="s">
        <v>60</v>
      </c>
      <c r="B9" s="18">
        <f>B8*(1+Assumptions!B12)/(Assumptions!B26-Assumptions!B12)</f>
        <v>12880285916.058104</v>
      </c>
    </row>
    <row r="10" spans="1:2" x14ac:dyDescent="0.25">
      <c r="A10" t="s">
        <v>61</v>
      </c>
      <c r="B10" s="18">
        <f>B9/(1+Assumptions!B26)^(5-0.5*Assumptions!B32)</f>
        <v>9040169976.96898</v>
      </c>
    </row>
    <row r="11" spans="1:2" x14ac:dyDescent="0.25">
      <c r="A11" t="s">
        <v>62</v>
      </c>
      <c r="B11" s="18">
        <f>Forecast!B17+B10</f>
        <v>9430628806.175957</v>
      </c>
    </row>
    <row r="12" spans="1:2" x14ac:dyDescent="0.25">
      <c r="A12" t="s">
        <v>63</v>
      </c>
      <c r="B12" s="18">
        <f>-Assumptions!B30</f>
        <v>-4036000000</v>
      </c>
    </row>
    <row r="13" spans="1:2" x14ac:dyDescent="0.25">
      <c r="A13" t="s">
        <v>64</v>
      </c>
      <c r="B13" s="18">
        <f>B11+B12</f>
        <v>5394628806.175957</v>
      </c>
    </row>
    <row r="14" spans="1:2" x14ac:dyDescent="0.25">
      <c r="A14" s="19" t="s">
        <v>65</v>
      </c>
      <c r="B14" s="24">
        <f>B13/Assumptions!B31</f>
        <v>30.210953079054914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2843737956.7195272</v>
      </c>
    </row>
    <row r="18" spans="1:2" x14ac:dyDescent="0.25">
      <c r="A18" t="s">
        <v>60</v>
      </c>
      <c r="B18" s="18">
        <f>B17*Assumptions!B13</f>
        <v>25862371193.959984</v>
      </c>
    </row>
    <row r="19" spans="1:2" x14ac:dyDescent="0.25">
      <c r="A19" t="s">
        <v>61</v>
      </c>
      <c r="B19" s="18">
        <f>B18/(1+Assumptions!B26)^(5-0.5*Assumptions!B32)</f>
        <v>18151788952.866425</v>
      </c>
    </row>
    <row r="20" spans="1:2" x14ac:dyDescent="0.25">
      <c r="A20" t="s">
        <v>62</v>
      </c>
      <c r="B20" s="18">
        <f>Forecast!B17+B19</f>
        <v>18542247782.073402</v>
      </c>
    </row>
    <row r="21" spans="1:2" x14ac:dyDescent="0.25">
      <c r="A21" t="s">
        <v>63</v>
      </c>
      <c r="B21" s="18">
        <f>-Assumptions!B30</f>
        <v>-4036000000</v>
      </c>
    </row>
    <row r="22" spans="1:2" x14ac:dyDescent="0.25">
      <c r="A22" t="s">
        <v>64</v>
      </c>
      <c r="B22" s="18">
        <f>B20+B21</f>
        <v>14506247782.073402</v>
      </c>
    </row>
    <row r="23" spans="1:2" x14ac:dyDescent="0.25">
      <c r="A23" s="19" t="s">
        <v>65</v>
      </c>
      <c r="B23" s="25">
        <f>B22/Assumptions!B31</f>
        <v>81.23776201165927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142.25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30.210953079054914</v>
      </c>
    </row>
    <row r="29" spans="1:2" x14ac:dyDescent="0.25">
      <c r="A29" s="19" t="s">
        <v>73</v>
      </c>
      <c r="B29" s="12">
        <f>B28/B26-1</f>
        <v>-0.7876207164917053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0.061848</v>
      </c>
      <c r="B5" s="31">
        <v>56.53707465720294</v>
      </c>
      <c r="C5" s="31">
        <v>60.131033897701954</v>
      </c>
      <c r="D5" s="31">
        <v>64.63340041578154</v>
      </c>
      <c r="E5" s="31">
        <v>70.47202240171141</v>
      </c>
      <c r="F5" s="31">
        <v>78.39346690025303</v>
      </c>
    </row>
    <row r="6" spans="1:6" x14ac:dyDescent="0.25">
      <c r="A6" s="30">
        <v>0.071848</v>
      </c>
      <c r="B6" s="31">
        <v>40.35080211978273</v>
      </c>
      <c r="C6" s="31">
        <v>41.88193076695329</v>
      </c>
      <c r="D6" s="31">
        <v>43.68941196857043</v>
      </c>
      <c r="E6" s="31">
        <v>45.872301553268706</v>
      </c>
      <c r="F6" s="31">
        <v>48.58341991146869</v>
      </c>
    </row>
    <row r="7" spans="1:6" x14ac:dyDescent="0.25">
      <c r="A7" s="30">
        <v>0.081848</v>
      </c>
      <c r="B7" s="31">
        <v>29.105071880011312</v>
      </c>
      <c r="C7" s="31">
        <v>29.631870175382918</v>
      </c>
      <c r="D7" s="32">
        <v>30.21144154701526</v>
      </c>
      <c r="E7" s="31">
        <v>30.85905362613637</v>
      </c>
      <c r="F7" s="31">
        <v>31.59649198763378</v>
      </c>
    </row>
    <row r="8" spans="1:6" x14ac:dyDescent="0.25">
      <c r="A8" s="30">
        <v>0.091848</v>
      </c>
      <c r="B8" s="31">
        <v>21.330372427962264</v>
      </c>
      <c r="C8" s="31">
        <v>21.53625333537755</v>
      </c>
      <c r="D8" s="31">
        <v>21.742134242792805</v>
      </c>
      <c r="E8" s="31">
        <v>21.948015150208082</v>
      </c>
      <c r="F8" s="31">
        <v>22.153896057623353</v>
      </c>
    </row>
    <row r="9" spans="1:6" x14ac:dyDescent="0.25">
      <c r="A9" s="30">
        <v>0.101848</v>
      </c>
      <c r="B9" s="31">
        <v>15.665882700401713</v>
      </c>
      <c r="C9" s="31">
        <v>15.844085901467603</v>
      </c>
      <c r="D9" s="31">
        <v>16.02228910253348</v>
      </c>
      <c r="E9" s="31">
        <v>16.200492303599372</v>
      </c>
      <c r="F9" s="31">
        <v>16.378695504665256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24811000000</v>
      </c>
      <c r="C5" s="18">
        <v>23683000000</v>
      </c>
      <c r="D5" s="18">
        <v>21427000000</v>
      </c>
      <c r="E5" s="18">
        <v>22511000000</v>
      </c>
      <c r="F5" s="8" t="s">
        <v>84</v>
      </c>
    </row>
    <row r="6" spans="1:6" x14ac:dyDescent="0.25">
      <c r="A6" t="s">
        <v>44</v>
      </c>
      <c r="B6" s="18">
        <v>2061000000</v>
      </c>
      <c r="C6" s="18">
        <v>1291000000</v>
      </c>
      <c r="D6" s="18">
        <v>279000000</v>
      </c>
      <c r="E6" s="18">
        <v>729000000</v>
      </c>
      <c r="F6" s="8" t="s">
        <v>85</v>
      </c>
    </row>
    <row r="7" spans="1:6" x14ac:dyDescent="0.25">
      <c r="A7" t="s">
        <v>86</v>
      </c>
      <c r="B7" s="18">
        <v>1121000000</v>
      </c>
      <c r="C7" s="18">
        <v>1171000000</v>
      </c>
      <c r="D7" s="18">
        <v>1096000000</v>
      </c>
      <c r="E7" s="18">
        <v>1375000000</v>
      </c>
      <c r="F7" s="8" t="s">
        <v>87</v>
      </c>
    </row>
    <row r="8" spans="1:6" x14ac:dyDescent="0.25">
      <c r="A8" t="s">
        <v>88</v>
      </c>
      <c r="B8" s="18">
        <v>477000000</v>
      </c>
      <c r="C8" s="18">
        <v>540000000</v>
      </c>
      <c r="D8" s="18">
        <v>504000000</v>
      </c>
      <c r="E8" s="18">
        <v>695000000</v>
      </c>
      <c r="F8" s="8" t="s">
        <v>89</v>
      </c>
    </row>
    <row r="9" spans="1:6" x14ac:dyDescent="0.25">
      <c r="A9" t="s">
        <v>90</v>
      </c>
      <c r="B9" s="18">
        <v>2043000000</v>
      </c>
      <c r="C9" s="18">
        <v>-685000000</v>
      </c>
      <c r="D9" s="18">
        <v>-1419000000</v>
      </c>
      <c r="E9" s="18">
        <v>1938000000</v>
      </c>
      <c r="F9" s="8" t="s">
        <v>91</v>
      </c>
    </row>
    <row r="10" spans="1:6" x14ac:dyDescent="0.25">
      <c r="A10" t="s">
        <v>92</v>
      </c>
      <c r="B10" s="18">
        <v>5556000000</v>
      </c>
      <c r="C10" s="18">
        <v>5587000000</v>
      </c>
      <c r="D10" s="18">
        <v>5563000000</v>
      </c>
      <c r="E10" s="18">
        <v>6459000000</v>
      </c>
      <c r="F10" s="8" t="s">
        <v>93</v>
      </c>
    </row>
    <row r="11" spans="1:6" x14ac:dyDescent="0.25">
      <c r="A11" t="s">
        <v>94</v>
      </c>
      <c r="B11" s="18">
        <v>1520000000</v>
      </c>
      <c r="C11" s="18">
        <v>2480000000</v>
      </c>
      <c r="D11" s="18">
        <v>1409000000</v>
      </c>
      <c r="E11" s="18">
        <v>1812000000</v>
      </c>
      <c r="F11" s="8" t="s">
        <v>95</v>
      </c>
    </row>
    <row r="12" spans="1:6" x14ac:dyDescent="0.25">
      <c r="A12" t="s">
        <v>32</v>
      </c>
      <c r="B12" s="34">
        <v>178565330</v>
      </c>
      <c r="C12" s="34">
        <v>178563385</v>
      </c>
      <c r="D12" s="34">
        <v>178557615</v>
      </c>
      <c r="E12" s="34">
        <v>183268087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2026-09-19T00:08:38Z</dcterms:modified>
</cp:coreProperties>
</file>