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<sst xmlns="http://schemas.openxmlformats.org/spreadsheetml/2006/main" count="121" uniqueCount="108">
  <si>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Autodesk, Inc. (ADSK)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</si>
  <si>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</si>
  <si>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</si>
  <si>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</si>
  <si>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</si>
  <si>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</si>
  <si>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</si>
  <si>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</si>
  <si>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</si>
  <si>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</si>
  <si>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</si>
  <si>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</si>
  <si>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</si>
  <si>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</si>
  <si>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</si>
  <si>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</si>
  <si>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</si>
  <si>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</si>
  <si>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</si>
  <si>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</si>
  <si>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</si>
  <si>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</si>
  <si>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</si>
  <si>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</si>
  <si>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</si>
  <si>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</si>
  <si>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</si>
  <si>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</si>
  <si>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</si>
  <si>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</si>
  <si>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</si>
  <si>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</si>
  <si>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</si>
  <si>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</si>
  <si>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</si>
  <si>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</si>
  <si>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</si>
  <si>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</si>
  <si>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</si>
  <si>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</si>
  <si>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</si>
  <si>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</si>
  <si>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</si>
  <si>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</si>
  <si>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</si>
  <si>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</si>
  <si>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</si>
  <si>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</si>
  <si>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</si>
  <si>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</si>
  <si>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</si>
  <si>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</si>
  <si>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</si>
  <si>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</si>
  <si>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</si>
  <si>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</si>
  <si>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</si>
  <si>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</si>
  <si>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</si>
  <si>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</si>
  <si>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</si>
  <si>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</si>
  <si>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</si>
  <si>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</si>
  <si>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</si>
  <si>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</si>
  <si>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</si>
  <si>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</si>
  <si>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</si>
  <si>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</si>
  <si>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</si>
  <si>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</si>
  <si>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</si>
  <si>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</si>
  <si>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</si>
  <si>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</si>
  <si>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</si>
  <si>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</si>
  <si>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</si>
  <si>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</si>
  <si>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</si>
  <si>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</si>
  <si>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</si>
  <si>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</si>
  <si>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</si>
  <si>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</si>
  <si>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</si>
  <si>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</si>
  <si>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</si>
  <si>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</si>
  <si>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</si>
  <si>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</si>
  <si>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</si>
  <si>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</si>
  <si>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</si>
  <si>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</si>
  <si>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</si>
  <si>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</si>
  <si>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</si>
  <si>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</si>
  <si>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</si>
  <si>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</si>
  <si>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</si>
  <si>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</si>
  <si>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</si>
  <si>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1.19% of revenue against depreciation of 2.79%. A business cannot depreciate more than it invests indefinitely. Capex has been set to 2.79% of revenue so the forecast is not handed free growth. Override it if the reported figure is right.</t>
  </si>
  <si>
    <t>Current EV/EBITDA of 27.2x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</si>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</sst>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0.15516828892589518</v>
      </c>
    </row>
    <row r="7" spans="1:2" x14ac:dyDescent="0.25">
      <c r="A7" t="s">
        <v>4</v>
      </c>
      <c r="B7" s="5">
        <v>0.21876397644022902</v>
      </c>
    </row>
    <row r="8" spans="1:2" x14ac:dyDescent="0.25">
      <c r="A8" t="s">
        <v>5</v>
      </c>
      <c r="B8" s="5">
        <v>0.19949829031995442</v>
      </c>
    </row>
    <row r="9" spans="1:2" x14ac:dyDescent="0.25">
      <c r="A9" t="s">
        <v>6</v>
      </c>
      <c r="B9" s="5">
        <v>0.027919081960256262</v>
      </c>
    </row>
    <row r="10" spans="1:3" x14ac:dyDescent="0.25">
      <c r="A10" t="s">
        <v>7</v>
      </c>
      <c r="B10" s="5">
        <v>0.027919081960256262</v>
      </c>
      <c r="C10" s="6" t="s">
        <v>8</v>
      </c>
    </row>
    <row r="11" spans="1:2" x14ac:dyDescent="0.25">
      <c r="A11" t="s">
        <v>9</v>
      </c>
      <c r="B11" s="5">
        <v>0.14115014972211776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0.22718526493250918</v>
      </c>
      <c r="C14" s="6" t="s">
        <v>13</v>
      </c>
    </row>
    <row r="15" spans="1:3" x14ac:dyDescent="0.25">
      <c r="A15" t="s">
        <v>14</v>
      </c>
      <c r="B15" s="5">
        <v>0.027919081960256262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1.1641500000000002</v>
      </c>
      <c r="C19" s="6" t="s">
        <v>21</v>
      </c>
    </row>
    <row r="20" spans="1:2" x14ac:dyDescent="0.25">
      <c r="A20" t="s">
        <v>22</v>
      </c>
      <c r="B20" s="9">
        <f>B17+B19*B18</f>
        <v>0.09818354500000001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53903192064</v>
      </c>
    </row>
    <row r="23" spans="1:2" x14ac:dyDescent="0.25">
      <c r="A23" t="s">
        <v>26</v>
      </c>
      <c r="B23" s="10">
        <v>2734000000</v>
      </c>
    </row>
    <row r="24" spans="1:2" x14ac:dyDescent="0.25">
      <c r="A24" t="s">
        <v>27</v>
      </c>
      <c r="B24" s="9">
        <f>B22/(B22+B23)</f>
        <v>0.9517278328891979</v>
      </c>
    </row>
    <row r="25" spans="1:2" x14ac:dyDescent="0.25">
      <c r="A25" t="s">
        <v>28</v>
      </c>
      <c r="B25" s="9">
        <f>1-B24</f>
        <v>0.04827216711080207</v>
      </c>
    </row>
    <row r="26" spans="1:2" x14ac:dyDescent="0.25">
      <c r="A26" t="s">
        <v>29</v>
      </c>
      <c r="B26" s="11">
        <f>B24*B20+B25*B21*(1-B8)</f>
        <v>0.09610798869993982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7206000000</v>
      </c>
      <c r="C29" s="6" t="s">
        <v>32</v>
      </c>
    </row>
    <row r="30" spans="1:2" x14ac:dyDescent="0.25">
      <c r="A30" t="s">
        <v>33</v>
      </c>
      <c r="B30" s="10">
        <v>137000000</v>
      </c>
    </row>
    <row r="31" spans="1:2" x14ac:dyDescent="0.25">
      <c r="A31" t="s">
        <v>34</v>
      </c>
      <c r="B31" s="12">
        <v>215000000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0.15516828892589518</v>
      </c>
      <c r="C5" s="5">
        <v>0.11024872520535811</v>
      </c>
      <c r="D5" s="5">
        <v>0.09959263455468835</v>
      </c>
      <c r="E5" s="5">
        <v>0.08893654390401859</v>
      </c>
      <c r="F5" s="5">
        <v>0.07828045325334881</v>
      </c>
      <c r="G5" s="5">
        <v>0.06762436260267905</v>
      </c>
      <c r="H5" s="5">
        <v>0.05696827195200929</v>
      </c>
      <c r="I5" s="5">
        <v>0.04631218130133952</v>
      </c>
      <c r="J5" s="5">
        <v>0.035656090650669756</v>
      </c>
      <c r="K5" s="5">
        <v>0.024999999999999994</v>
      </c>
    </row>
    <row r="6" spans="1:11" x14ac:dyDescent="0.25">
      <c r="A6" t="s">
        <v>50</v>
      </c>
      <c r="B6" s="18">
        <f>Assumptions!B29*(1+B5)</f>
        <v>8324142690.000001</v>
      </c>
      <c r="C6" s="18">
        <f>B6*(1+C5)</f>
        <v>9241868810.000002</v>
      </c>
      <c r="D6" s="18">
        <f>C6*(1+D5)</f>
        <v>10162290872.996704</v>
      </c>
      <c r="E6" s="18">
        <f>D6*(1+E5)</f>
        <v>11066089901.388384</v>
      </c>
      <c r="F6" s="18">
        <f>E6*(1+F5)</f>
        <v>11932348434.611372</v>
      </c>
      <c r="G6" s="18">
        <f>F6*(1+G5)</f>
        <v>12739265891.855042</v>
      </c>
      <c r="H6" s="18">
        <f>G6*(1+H5)</f>
        <v>13464999855.651196</v>
      </c>
      <c r="I6" s="18">
        <f>H6*(1+I5)</f>
        <v>14088593370.188625</v>
      </c>
      <c r="J6" s="18">
        <f>I6*(1+J5)</f>
        <v>14590937532.536495</v>
      </c>
      <c r="K6" s="18">
        <f>J6*(1+K5)</f>
        <v>14955710970.849907</v>
      </c>
    </row>
    <row r="7" spans="1:11" x14ac:dyDescent="0.25">
      <c r="A7" t="s">
        <v>4</v>
      </c>
      <c r="B7" s="9">
        <f>Assumptions!B7</f>
        <v>0.21876397644022902</v>
      </c>
      <c r="C7" s="9">
        <f>Assumptions!B7</f>
        <v>0.21876397644022902</v>
      </c>
      <c r="D7" s="9">
        <f>Assumptions!B7</f>
        <v>0.21876397644022902</v>
      </c>
      <c r="E7" s="9">
        <f>Assumptions!B7</f>
        <v>0.21876397644022902</v>
      </c>
      <c r="F7" s="9">
        <f>Assumptions!B7</f>
        <v>0.21876397644022902</v>
      </c>
      <c r="G7" s="9">
        <f>Assumptions!B7</f>
        <v>0.21876397644022902</v>
      </c>
      <c r="H7" s="9">
        <f>Assumptions!B7</f>
        <v>0.21876397644022902</v>
      </c>
      <c r="I7" s="9">
        <f>Assumptions!B7</f>
        <v>0.21876397644022902</v>
      </c>
      <c r="J7" s="9">
        <f>Assumptions!B7</f>
        <v>0.21876397644022902</v>
      </c>
      <c r="K7" s="9">
        <f>Assumptions!B7</f>
        <v>0.21876397644022902</v>
      </c>
    </row>
    <row r="8" spans="1:11" x14ac:dyDescent="0.25">
      <c r="A8" t="s">
        <v>51</v>
      </c>
      <c r="B8" s="18">
        <f>B6*B7</f>
        <v>1821022555.3202648</v>
      </c>
      <c r="C8" s="18">
        <f>C6*C7</f>
        <v>2021787970.6145277</v>
      </c>
      <c r="D8" s="18">
        <f>D6*D7</f>
        <v>2223143161.119005</v>
      </c>
      <c r="E8" s="18">
        <f>E6*E7</f>
        <v>2420861830.4727845</v>
      </c>
      <c r="F8" s="18">
        <f>F6*F7</f>
        <v>2610367991.825926</v>
      </c>
      <c r="G8" s="18">
        <f>G6*G7</f>
        <v>2786892463.4315896</v>
      </c>
      <c r="H8" s="18">
        <f>H6*H7</f>
        <v>2945656911.1893654</v>
      </c>
      <c r="I8" s="18">
        <f>I6*I7</f>
        <v>3082076708.1119113</v>
      </c>
      <c r="J8" s="18">
        <f>J6*J7</f>
        <v>3191971514.6086674</v>
      </c>
      <c r="K8" s="18">
        <f>K6*K7</f>
        <v>3271770802.4738836</v>
      </c>
    </row>
    <row r="9" spans="1:11" x14ac:dyDescent="0.25">
      <c r="A9" t="s">
        <v>52</v>
      </c>
      <c r="B9" s="18">
        <f>B8*(1-Assumptions!B8)</f>
        <v>1457731668.8997972</v>
      </c>
      <c r="C9" s="18">
        <f>C8*(1-Assumptions!B8)</f>
        <v>1618444727.087479</v>
      </c>
      <c r="D9" s="18">
        <f>D8*(1-Assumptions!B8)</f>
        <v>1779629901.3392646</v>
      </c>
      <c r="E9" s="18">
        <f>E8*(1-Assumptions!B8)</f>
        <v>1937904034.1926286</v>
      </c>
      <c r="F9" s="18">
        <f>F8*(1-Assumptions!B8)</f>
        <v>2089604040.3507206</v>
      </c>
      <c r="G9" s="18">
        <f>G8*(1-Assumptions!B8)</f>
        <v>2230912181.671421</v>
      </c>
      <c r="H9" s="18">
        <f>H8*(1-Assumptions!B8)</f>
        <v>2358003393.537929</v>
      </c>
      <c r="I9" s="18">
        <f>I8*(1-Assumptions!B8)</f>
        <v>2467207674.2086315</v>
      </c>
      <c r="J9" s="18">
        <f>J8*(1-Assumptions!B8)</f>
        <v>2555178654.6942425</v>
      </c>
      <c r="K9" s="18">
        <f>K8*(1-Assumptions!B8)</f>
        <v>2619058121.0615983</v>
      </c>
    </row>
    <row r="10" spans="1:11" x14ac:dyDescent="0.25">
      <c r="A10" t="s">
        <v>53</v>
      </c>
      <c r="B10" s="18">
        <f>B6*Assumptions!B9</f>
        <v>232402422.01097807</v>
      </c>
      <c r="C10" s="18">
        <f>C6*Assumptions!B9</f>
        <v>258024492.77232605</v>
      </c>
      <c r="D10" s="18">
        <f>D6*Assumptions!B9</f>
        <v>283721831.78715914</v>
      </c>
      <c r="E10" s="18">
        <f>E6*Assumptions!B9</f>
        <v>308955070.9364264</v>
      </c>
      <c r="F10" s="18">
        <f>F6*Assumptions!B9</f>
        <v>333140213.9242504</v>
      </c>
      <c r="G10" s="18">
        <f>G6*Assumptions!B9</f>
        <v>355668608.548198</v>
      </c>
      <c r="H10" s="18">
        <f>H6*Assumptions!B9</f>
        <v>375930434.56476444</v>
      </c>
      <c r="I10" s="18">
        <f>I6*Assumptions!B9</f>
        <v>393340593.0070192</v>
      </c>
      <c r="J10" s="18">
        <f>J6*Assumptions!B9</f>
        <v>407365580.8478657</v>
      </c>
      <c r="K10" s="18">
        <f>K6*Assumptions!B9</f>
        <v>417549720.3690623</v>
      </c>
    </row>
    <row r="11" spans="1:11" x14ac:dyDescent="0.25">
      <c r="A11" t="s">
        <v>54</v>
      </c>
      <c r="B11" s="18">
        <f>-B6*B19</f>
        <v>-232402422.01097807</v>
      </c>
      <c r="C11" s="18">
        <f>-C6*C19</f>
        <v>-277813099.2156215</v>
      </c>
      <c r="D11" s="18">
        <f>-D6*D19</f>
        <v>-327240643.57345724</v>
      </c>
      <c r="E11" s="18">
        <f>-E6*E19</f>
        <v>-380038907.68849784</v>
      </c>
      <c r="F11" s="18">
        <f>-F6*F19</f>
        <v>-435337962.87359786</v>
      </c>
      <c r="G11" s="18">
        <f>-G6*G19</f>
        <v>-492054616.77504265</v>
      </c>
      <c r="H11" s="18">
        <f>-H6*H19</f>
        <v>-548917254.6855171</v>
      </c>
      <c r="I11" s="18">
        <f>-I6*I19</f>
        <v>-604505179.6201009</v>
      </c>
      <c r="J11" s="18">
        <f>-J6*J19</f>
        <v>-657301455.4256587</v>
      </c>
      <c r="K11" s="18">
        <f>-K6*K19</f>
        <v>-705757025.7415799</v>
      </c>
    </row>
    <row r="12" spans="1:11" x14ac:dyDescent="0.25">
      <c r="A12" t="s">
        <v>55</v>
      </c>
      <c r="B12" s="18">
        <f>-(B6-Assumptions!B29)*Assumptions!B11</f>
        <v>-157826008.10419163</v>
      </c>
      <c r="C12" s="18">
        <f>-(C6-B6)*Assumptions!B11</f>
        <v>-129537179.24189834</v>
      </c>
      <c r="D12" s="18">
        <f>-(D6-C6)*Assumptions!B11</f>
        <v>-129917711.99952501</v>
      </c>
      <c r="E12" s="18">
        <f>-(E6-D6)*Assumptions!B11</f>
        <v>-127571368.17619015</v>
      </c>
      <c r="F12" s="18">
        <f>-(F6-E6)*Assumptions!B11</f>
        <v>-122272521.6624869</v>
      </c>
      <c r="G12" s="18">
        <f>-(G6-F6)*Assumptions!B11</f>
        <v>-113896519.9033345</v>
      </c>
      <c r="H12" s="18">
        <f>-(H6-G6)*Assumptions!B11</f>
        <v>-102437457.64825313</v>
      </c>
      <c r="I12" s="18">
        <f>-(I6-H6)*Assumptions!B11</f>
        <v>-88020317.94269983</v>
      </c>
      <c r="J12" s="18">
        <f>-(J6-I6)*Assumptions!B11</f>
        <v>-70905953.72743367</v>
      </c>
      <c r="K12" s="18">
        <f>-(K6-J6)*Assumptions!B11</f>
        <v>-51487825.43258975</v>
      </c>
    </row>
    <row r="13" spans="1:11" x14ac:dyDescent="0.25">
      <c r="A13" s="19" t="s">
        <v>56</v>
      </c>
      <c r="B13" s="20">
        <f>B9+B10+B11+B12</f>
        <v>1299905660.7956057</v>
      </c>
      <c r="C13" s="20">
        <f>C9+C10+C11+C12</f>
        <v>1469118941.4022853</v>
      </c>
      <c r="D13" s="20">
        <f>D9+D10+D11+D12</f>
        <v>1606193377.5534415</v>
      </c>
      <c r="E13" s="20">
        <f>E9+E10+E11+E12</f>
        <v>1739248829.264367</v>
      </c>
      <c r="F13" s="20">
        <f>F9+F10+F11+F12</f>
        <v>1865133769.7388864</v>
      </c>
      <c r="G13" s="20">
        <f>G9+G10+G11+G12</f>
        <v>1980629653.5412416</v>
      </c>
      <c r="H13" s="20">
        <f>H9+H10+H11+H12</f>
        <v>2082579115.768923</v>
      </c>
      <c r="I13" s="20">
        <f>I9+I10+I11+I12</f>
        <v>2168022769.6528497</v>
      </c>
      <c r="J13" s="20">
        <f>J9+J10+J11+J12</f>
        <v>2234336826.3890157</v>
      </c>
      <c r="K13" s="20">
        <f>K9+K10+K11+K12</f>
        <v>2279362990.256491</v>
      </c>
    </row>
    <row r="14" spans="1:11" x14ac:dyDescent="0.25">
      <c r="A14" t="s">
        <v>57</v>
      </c>
      <c r="B14" s="21">
        <f>1/(1+Assumptions!$B$26)^(1-0.5*Assumptions!$B$32)</f>
        <v>0.955153845459389</v>
      </c>
      <c r="C14" s="21">
        <f>1/(1+Assumptions!$B$26)^(2-0.5*Assumptions!$B$32)</f>
        <v>0.8714048755289775</v>
      </c>
      <c r="D14" s="21">
        <f>1/(1+Assumptions!$B$26)^(3-0.5*Assumptions!$B$32)</f>
        <v>0.7949991100443707</v>
      </c>
      <c r="E14" s="21">
        <f>1/(1+Assumptions!$B$26)^(4-0.5*Assumptions!$B$32)</f>
        <v>0.7252926885308946</v>
      </c>
      <c r="F14" s="21">
        <f>1/(1+Assumptions!$B$26)^(5-0.5*Assumptions!$B$32)</f>
        <v>0.6616982049288246</v>
      </c>
      <c r="G14" s="21">
        <f>1/(1+Assumptions!$B$26)^(6-0.5*Assumptions!$B$32)</f>
        <v>0.6036797576064057</v>
      </c>
      <c r="H14" s="21">
        <f>1/(1+Assumptions!$B$26)^(7-0.5*Assumptions!$B$32)</f>
        <v>0.55074843339333</v>
      </c>
      <c r="I14" s="21">
        <f>1/(1+Assumptions!$B$26)^(8-0.5*Assumptions!$B$32)</f>
        <v>0.5024581875792693</v>
      </c>
      <c r="J14" s="21">
        <f>1/(1+Assumptions!$B$26)^(9-0.5*Assumptions!$B$32)</f>
        <v>0.45840208515879866</v>
      </c>
      <c r="K14" s="21">
        <f>1/(1+Assumptions!$B$26)^(10-0.5*Assumptions!$B$32)</f>
        <v>0.4182088716482172</v>
      </c>
    </row>
    <row r="15" spans="1:11" x14ac:dyDescent="0.25">
      <c r="A15" s="19" t="s">
        <v>58</v>
      </c>
      <c r="B15" s="20">
        <f>B13*B14</f>
        <v>1241609890.6433508</v>
      </c>
      <c r="C15" s="20">
        <f>C13*C14</f>
        <v>1280197408.2699215</v>
      </c>
      <c r="D15" s="20">
        <f>D13*D14</f>
        <v>1276922305.714148</v>
      </c>
      <c r="E15" s="20">
        <f>E13*E14</f>
        <v>1261464459.4013636</v>
      </c>
      <c r="F15" s="20">
        <f>F13*F14</f>
        <v>1234155667.3883526</v>
      </c>
      <c r="G15" s="20">
        <f>G13*G14</f>
        <v>1195666029.157836</v>
      </c>
      <c r="H15" s="20">
        <f>H13*H14</f>
        <v>1146977185.4274008</v>
      </c>
      <c r="I15" s="20">
        <f>I13*I14</f>
        <v>1089340791.4703586</v>
      </c>
      <c r="J15" s="20">
        <f>J13*J14</f>
        <v>1024224660.1638175</v>
      </c>
      <c r="K15" s="20">
        <f>K13*K14</f>
        <v>953249824.2318734</v>
      </c>
    </row>
    <row r="17" spans="1:2" x14ac:dyDescent="0.25">
      <c r="A17" s="22" t="s">
        <v>59</v>
      </c>
      <c r="B17" s="23">
        <f>SUM(B15:K15)</f>
        <v>11703808221.868422</v>
      </c>
    </row>
    <row r="19" spans="1:11" x14ac:dyDescent="0.25">
      <c r="A19" t="s">
        <v>7</v>
      </c>
      <c r="B19" s="9">
        <f>Assumptions!$B$10+($B$20-Assumptions!$B$10)*0/9</f>
        <v>0.027919081960256262</v>
      </c>
      <c r="C19" s="9">
        <f>Assumptions!$B$10+($B$20-Assumptions!$B$10)*1/9</f>
        <v>0.0300602729736889</v>
      </c>
      <c r="D19" s="9">
        <f>Assumptions!$B$10+($B$20-Assumptions!$B$10)*2/9</f>
        <v>0.03220146398712154</v>
      </c>
      <c r="E19" s="9">
        <f>Assumptions!$B$10+($B$20-Assumptions!$B$10)*3/9</f>
        <v>0.034342655000554174</v>
      </c>
      <c r="F19" s="9">
        <f>Assumptions!$B$10+($B$20-Assumptions!$B$10)*4/9</f>
        <v>0.03648384601398681</v>
      </c>
      <c r="G19" s="9">
        <f>Assumptions!$B$10+($B$20-Assumptions!$B$10)*5/9</f>
        <v>0.03862503702741945</v>
      </c>
      <c r="H19" s="9">
        <f>Assumptions!$B$10+($B$20-Assumptions!$B$10)*6/9</f>
        <v>0.04076622804085209</v>
      </c>
      <c r="I19" s="9">
        <f>Assumptions!$B$10+($B$20-Assumptions!$B$10)*7/9</f>
        <v>0.042907419054284725</v>
      </c>
      <c r="J19" s="9">
        <f>Assumptions!$B$10+($B$20-Assumptions!$B$10)*8/9</f>
        <v>0.04504861006771736</v>
      </c>
      <c r="K19" s="9">
        <f>Assumptions!$B$10+($B$20-Assumptions!$B$10)*9/9</f>
        <v>0.04718980108115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0.04718980108115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2279362990.256491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2619058121.0615983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0.11004234806965518</v>
      </c>
    </row>
    <row r="7" spans="1:2" x14ac:dyDescent="0.25">
      <c r="A7" t="s">
        <v>66</v>
      </c>
      <c r="B7" s="18">
        <f>-MAX(B5,0)*B6</f>
        <v>-288207305.3725175</v>
      </c>
    </row>
    <row r="8" spans="1:2" x14ac:dyDescent="0.25">
      <c r="A8" t="s">
        <v>67</v>
      </c>
      <c r="B8" s="18">
        <f>IF(OR(Assumptions!$B$33=0,Assumptions!B12&lt;=0),B5,MAX(B5+B7,0))</f>
        <v>2330850815.6890807</v>
      </c>
    </row>
    <row r="9" spans="1:2" x14ac:dyDescent="0.25">
      <c r="A9" t="s">
        <v>68</v>
      </c>
      <c r="B9" s="18">
        <f>B8*(1+Assumptions!B12)/(Assumptions!B26-Assumptions!B12)</f>
        <v>33598504609.135845</v>
      </c>
    </row>
    <row r="10" spans="1:2" x14ac:dyDescent="0.25">
      <c r="A10" t="s">
        <v>69</v>
      </c>
      <c r="B10" s="18">
        <f>B9/(1+Assumptions!B26)^(10-0.5*Assumptions!B32)</f>
        <v>14051192701.654125</v>
      </c>
    </row>
    <row r="11" spans="1:2" x14ac:dyDescent="0.25">
      <c r="A11" t="s">
        <v>70</v>
      </c>
      <c r="B11" s="18">
        <f>Forecast!B17+B10</f>
        <v>25755000923.522545</v>
      </c>
    </row>
    <row r="12" spans="1:2" x14ac:dyDescent="0.25">
      <c r="A12" t="s">
        <v>71</v>
      </c>
      <c r="B12" s="18">
        <f>-Assumptions!B30</f>
        <v>-137000000</v>
      </c>
    </row>
    <row r="13" spans="1:2" x14ac:dyDescent="0.25">
      <c r="A13" t="s">
        <v>72</v>
      </c>
      <c r="B13" s="18">
        <f>B11+B12</f>
        <v>25618000923.522545</v>
      </c>
    </row>
    <row r="14" spans="1:2" x14ac:dyDescent="0.25">
      <c r="A14" s="19" t="s">
        <v>73</v>
      </c>
      <c r="B14" s="24">
        <f>B13/Assumptions!B31</f>
        <v>119.15349266754671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3689320522.842946</v>
      </c>
    </row>
    <row r="18" spans="1:2" x14ac:dyDescent="0.25">
      <c r="A18" t="s">
        <v>68</v>
      </c>
      <c r="B18" s="18">
        <f>B17*Assumptions!B13</f>
        <v>73786410456.85892</v>
      </c>
    </row>
    <row r="19" spans="1:2" x14ac:dyDescent="0.25">
      <c r="A19" t="s">
        <v>69</v>
      </c>
      <c r="B19" s="18">
        <f>B18/(1+Assumptions!B26)^(10-0.5*Assumptions!B32)</f>
        <v>30858131460.13518</v>
      </c>
    </row>
    <row r="20" spans="1:2" x14ac:dyDescent="0.25">
      <c r="A20" t="s">
        <v>70</v>
      </c>
      <c r="B20" s="18">
        <f>Forecast!B17+B19</f>
        <v>42561939682.0036</v>
      </c>
    </row>
    <row r="21" spans="1:2" x14ac:dyDescent="0.25">
      <c r="A21" t="s">
        <v>71</v>
      </c>
      <c r="B21" s="18">
        <f>-Assumptions!B30</f>
        <v>-137000000</v>
      </c>
    </row>
    <row r="22" spans="1:2" x14ac:dyDescent="0.25">
      <c r="A22" t="s">
        <v>72</v>
      </c>
      <c r="B22" s="18">
        <f>B20+B21</f>
        <v>42424939682.0036</v>
      </c>
    </row>
    <row r="23" spans="1:2" x14ac:dyDescent="0.25">
      <c r="A23" s="19" t="s">
        <v>73</v>
      </c>
      <c r="B23" s="25">
        <f>B22/Assumptions!B31</f>
        <v>197.32530084652836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257.91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119.15349266754671</v>
      </c>
    </row>
    <row r="29" spans="1:2" x14ac:dyDescent="0.25">
      <c r="A29" s="19" t="s">
        <v>81</v>
      </c>
      <c r="B29" s="11">
        <f>B28/B26-1</f>
        <v>-0.5380035955661018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0.076108</v>
      </c>
      <c r="B5" s="31">
        <v>154.4547136222843</v>
      </c>
      <c r="C5" s="31">
        <v>160.19526162228811</v>
      </c>
      <c r="D5" s="31">
        <v>167.17491739100228</v>
      </c>
      <c r="E5" s="31">
        <v>175.79679137630254</v>
      </c>
      <c r="F5" s="31">
        <v>186.66011665322998</v>
      </c>
    </row>
    <row r="6" spans="1:6" x14ac:dyDescent="0.25">
      <c r="A6" s="30">
        <v>0.086108</v>
      </c>
      <c r="B6" s="31">
        <v>131.7039004530115</v>
      </c>
      <c r="C6" s="31">
        <v>135.13121212299893</v>
      </c>
      <c r="D6" s="31">
        <v>139.2109965645498</v>
      </c>
      <c r="E6" s="31">
        <v>144.11768686338175</v>
      </c>
      <c r="F6" s="31">
        <v>150.0939766850505</v>
      </c>
    </row>
    <row r="7" spans="1:6" x14ac:dyDescent="0.25">
      <c r="A7" s="30">
        <v>0.096108</v>
      </c>
      <c r="B7" s="31">
        <v>114.62641310899552</v>
      </c>
      <c r="C7" s="31">
        <v>116.70644657956431</v>
      </c>
      <c r="D7" s="32">
        <v>119.15347321197673</v>
      </c>
      <c r="E7" s="31">
        <v>122.05076428092957</v>
      </c>
      <c r="F7" s="31">
        <v>125.50884486575953</v>
      </c>
    </row>
    <row r="8" spans="1:6" x14ac:dyDescent="0.25">
      <c r="A8" s="30">
        <v>0.106108</v>
      </c>
      <c r="B8" s="31">
        <v>101.35001077044905</v>
      </c>
      <c r="C8" s="31">
        <v>102.6044372841047</v>
      </c>
      <c r="D8" s="31">
        <v>104.07534310076383</v>
      </c>
      <c r="E8" s="31">
        <v>105.80539376866122</v>
      </c>
      <c r="F8" s="31">
        <v>107.84925504648187</v>
      </c>
    </row>
    <row r="9" spans="1:6" x14ac:dyDescent="0.25">
      <c r="A9" s="30">
        <v>0.116108</v>
      </c>
      <c r="B9" s="31">
        <v>90.74346127129779</v>
      </c>
      <c r="C9" s="31">
        <v>91.47305298452035</v>
      </c>
      <c r="D9" s="31">
        <v>92.33487081537956</v>
      </c>
      <c r="E9" s="31">
        <v>93.35194853268372</v>
      </c>
      <c r="F9" s="31">
        <v>94.55299968252785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7206000000</v>
      </c>
      <c r="C5" s="18">
        <v>6131000000</v>
      </c>
      <c r="D5" s="18">
        <v>5497000000</v>
      </c>
      <c r="E5" s="18">
        <v>5005000000</v>
      </c>
      <c r="F5" s="6" t="s">
        <v>91</v>
      </c>
    </row>
    <row r="6" spans="1:6" x14ac:dyDescent="0.25">
      <c r="A6" t="s">
        <v>51</v>
      </c>
      <c r="B6" s="18">
        <v>1794000000</v>
      </c>
      <c r="C6" s="18">
        <v>1369000000</v>
      </c>
      <c r="D6" s="18">
        <v>1128000000</v>
      </c>
      <c r="E6" s="18">
        <v>989000000</v>
      </c>
      <c r="F6" s="6" t="s">
        <v>92</v>
      </c>
    </row>
    <row r="7" spans="1:6" x14ac:dyDescent="0.25">
      <c r="A7" t="s">
        <v>93</v>
      </c>
      <c r="B7" s="18">
        <v>195000000</v>
      </c>
      <c r="C7" s="18">
        <v>180000000</v>
      </c>
      <c r="D7" s="18">
        <v>139000000</v>
      </c>
      <c r="E7" s="18">
        <v>150000000</v>
      </c>
      <c r="F7" s="6" t="s">
        <v>94</v>
      </c>
    </row>
    <row r="8" spans="1:6" x14ac:dyDescent="0.25">
      <c r="A8" t="s">
        <v>95</v>
      </c>
      <c r="B8" s="18">
        <v>76000000</v>
      </c>
      <c r="C8" s="18">
        <v>102000000</v>
      </c>
      <c r="D8" s="18">
        <v>61000000</v>
      </c>
      <c r="E8" s="18">
        <v>46000000</v>
      </c>
      <c r="F8" s="6" t="s">
        <v>96</v>
      </c>
    </row>
    <row r="9" spans="1:6" x14ac:dyDescent="0.25">
      <c r="A9" t="s">
        <v>97</v>
      </c>
      <c r="B9" s="18">
        <v>501000000</v>
      </c>
      <c r="C9" s="18">
        <v>458000000</v>
      </c>
      <c r="D9" s="18">
        <v>451000000</v>
      </c>
      <c r="E9" s="18">
        <v>-554000000</v>
      </c>
      <c r="F9" s="6" t="s">
        <v>98</v>
      </c>
    </row>
    <row r="10" spans="1:6" x14ac:dyDescent="0.25">
      <c r="A10" t="s">
        <v>99</v>
      </c>
      <c r="B10" s="18">
        <v>2734000000</v>
      </c>
      <c r="C10" s="18">
        <v>2559000000</v>
      </c>
      <c r="D10" s="18">
        <v>2626000000</v>
      </c>
      <c r="E10" s="18">
        <v>2666000000</v>
      </c>
      <c r="F10" s="6" t="s">
        <v>100</v>
      </c>
    </row>
    <row r="11" spans="1:6" x14ac:dyDescent="0.25">
      <c r="A11" t="s">
        <v>101</v>
      </c>
      <c r="B11" s="18">
        <v>2597000000</v>
      </c>
      <c r="C11" s="18">
        <v>1886000000</v>
      </c>
      <c r="D11" s="18">
        <v>2246000000</v>
      </c>
      <c r="E11" s="18">
        <v>2072000000</v>
      </c>
      <c r="F11" s="6" t="s">
        <v>102</v>
      </c>
    </row>
    <row r="12" spans="1:6" x14ac:dyDescent="0.25">
      <c r="A12" t="s">
        <v>34</v>
      </c>
      <c r="B12" s="34">
        <v>215000000</v>
      </c>
      <c r="C12" s="34">
        <v>217000000</v>
      </c>
      <c r="D12" s="34">
        <v>216000000</v>
      </c>
      <c r="E12" s="34">
        <v>218000000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