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<sst xmlns="http://schemas.openxmlformats.org/spreadsheetml/2006/main" count="113" uniqueCount="101">
  <si>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Autodesk, Inc. (ADSK)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</si>
  <si>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</si>
  <si>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</si>
  <si>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</si>
  <si>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</si>
  <si>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</si>
  <si>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</si>
  <si>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</si>
  <si>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</si>
  <si>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</si>
  <si>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</si>
  <si>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</si>
  <si>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</si>
  <si>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</si>
  <si>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</si>
  <si>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</si>
  <si>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</si>
  <si>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</si>
  <si>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</si>
  <si>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</si>
  <si>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</si>
  <si>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</si>
  <si>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</si>
  <si>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</si>
  <si>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</si>
  <si>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</si>
  <si>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</si>
  <si>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</si>
  <si>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</si>
  <si>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</si>
  <si>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</si>
  <si>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</si>
  <si>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</si>
  <si>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</si>
  <si>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</si>
  <si>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</si>
  <si>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</si>
  <si>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</si>
  <si>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</si>
  <si>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</si>
  <si>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</si>
  <si>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</si>
  <si>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</si>
  <si>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</si>
  <si>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</si>
  <si>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</si>
  <si>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</si>
  <si>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</si>
  <si>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</si>
  <si>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</si>
  <si>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</si>
  <si>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</si>
  <si>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</si>
  <si>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</si>
  <si>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</si>
  <si>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</si>
  <si>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</si>
  <si>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</si>
  <si>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</si>
  <si>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</si>
  <si>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</si>
  <si>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</si>
  <si>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</si>
  <si>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</si>
  <si>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</si>
  <si>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</si>
  <si>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</si>
  <si>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</si>
  <si>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</si>
  <si>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</si>
  <si>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</si>
  <si>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</si>
  <si>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</si>
  <si>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</si>
  <si>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</si>
  <si>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</si>
  <si>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</si>
  <si>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</si>
  <si>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</si>
  <si>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</si>
  <si>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</si>
  <si>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</si>
  <si>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</si>
  <si>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</si>
  <si>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</si>
  <si>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</si>
  <si>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</si>
  <si>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</si>
  <si>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</si>
  <si>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</si>
  <si>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</si>
  <si>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</si>
  <si>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</si>
  <si>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</si>
  <si>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</si>
  <si>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</si>
  <si>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</si>
  <si>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</si>
  <si>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1.19% of revenue against depreciation of 2.79%. A business cannot depreciate more than it invests indefinitely. Capex has been set to 2.79% of revenue so the forecast is not handed free growth. Override it if the reported figure is right.</t>
  </si>
  <si>
    <t>Current EV/EBITDA of 22.9x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</si>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</sst>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0.12918055811635742</v>
      </c>
    </row>
    <row r="7" spans="1:2" x14ac:dyDescent="0.25">
      <c r="A7" t="s">
        <v>5</v>
      </c>
      <c r="B7" s="6">
        <v>0.21876397644022902</v>
      </c>
    </row>
    <row r="8" spans="1:2" x14ac:dyDescent="0.25">
      <c r="A8" t="s">
        <v>6</v>
      </c>
      <c r="B8" s="6">
        <v>0.19949829031995442</v>
      </c>
    </row>
    <row r="9" spans="1:2" x14ac:dyDescent="0.25">
      <c r="A9" t="s">
        <v>7</v>
      </c>
      <c r="B9" s="6">
        <v>0.027919081960256262</v>
      </c>
    </row>
    <row r="10" spans="1:2" x14ac:dyDescent="0.25">
      <c r="A10" t="s">
        <v>8</v>
      </c>
      <c r="B10" s="6">
        <v>0.027919081960256262</v>
      </c>
    </row>
    <row r="11" spans="1:2" x14ac:dyDescent="0.25">
      <c r="A11" t="s">
        <v>9</v>
      </c>
      <c r="B11" s="6">
        <v>0.722397476340694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0.22718526493250918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1.20703</v>
      </c>
      <c r="C19" s="8" t="s">
        <v>19</v>
      </c>
    </row>
    <row r="20" spans="1:2" x14ac:dyDescent="0.25">
      <c r="A20" t="s">
        <v>20</v>
      </c>
      <c r="B20" s="10">
        <f>B17+B19*B18</f>
        <v>0.11636665000000002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45342547968</v>
      </c>
    </row>
    <row r="23" spans="1:2" x14ac:dyDescent="0.25">
      <c r="A23" t="s">
        <v>24</v>
      </c>
      <c r="B23" s="11">
        <v>2734000000</v>
      </c>
    </row>
    <row r="24" spans="1:2" x14ac:dyDescent="0.25">
      <c r="A24" t="s">
        <v>25</v>
      </c>
      <c r="B24" s="10">
        <f>B22/(B22+B23)</f>
        <v>0.9431323563035399</v>
      </c>
    </row>
    <row r="25" spans="1:2" x14ac:dyDescent="0.25">
      <c r="A25" t="s">
        <v>26</v>
      </c>
      <c r="B25" s="10">
        <f>1-B24</f>
        <v>0.056867643696460135</v>
      </c>
    </row>
    <row r="26" spans="1:2" x14ac:dyDescent="0.25">
      <c r="A26" t="s">
        <v>27</v>
      </c>
      <c r="B26" s="12">
        <f>B24*B20+B25*B21*(1-B8)</f>
        <v>0.11293482757704369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7206000000</v>
      </c>
      <c r="C29" s="8" t="s">
        <v>30</v>
      </c>
    </row>
    <row r="30" spans="1:2" x14ac:dyDescent="0.25">
      <c r="A30" t="s">
        <v>31</v>
      </c>
      <c r="B30" s="11">
        <v>137000000</v>
      </c>
    </row>
    <row r="31" spans="1:2" x14ac:dyDescent="0.25">
      <c r="A31" t="s">
        <v>32</v>
      </c>
      <c r="B31" s="13">
        <v>215000000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0.12918055811635742</v>
      </c>
      <c r="C5" s="10">
        <f>Assumptions!B6</f>
        <v>0.12918055811635742</v>
      </c>
      <c r="D5" s="10">
        <f>Assumptions!B6</f>
        <v>0.12918055811635742</v>
      </c>
      <c r="E5" s="10">
        <f>Assumptions!B6</f>
        <v>0.12918055811635742</v>
      </c>
      <c r="F5" s="10">
        <f>Assumptions!B6</f>
        <v>0.12918055811635742</v>
      </c>
    </row>
    <row r="6" spans="1:6" x14ac:dyDescent="0.25">
      <c r="A6" t="s">
        <v>43</v>
      </c>
      <c r="B6" s="18">
        <f>Assumptions!B29*(1+B5)</f>
        <v>8136875101.786471</v>
      </c>
      <c r="C6" s="18">
        <f>B6*(1+C5)</f>
        <v>9188001168.75834</v>
      </c>
      <c r="D6" s="18">
        <f>C6*(1+D5)</f>
        <v>10374912287.712288</v>
      </c>
      <c r="E6" s="18">
        <f>D6*(1+E5)</f>
        <v>11715149247.447216</v>
      </c>
      <c r="F6" s="18">
        <f>E6*(1+F5)</f>
        <v>13228518765.648872</v>
      </c>
    </row>
    <row r="7" spans="1:6" x14ac:dyDescent="0.25">
      <c r="A7" t="s">
        <v>5</v>
      </c>
      <c r="B7" s="10">
        <f>Assumptions!B7</f>
        <v>0.21876397644022902</v>
      </c>
      <c r="C7" s="10">
        <f>Assumptions!B7</f>
        <v>0.21876397644022902</v>
      </c>
      <c r="D7" s="10">
        <f>Assumptions!B7</f>
        <v>0.21876397644022902</v>
      </c>
      <c r="E7" s="10">
        <f>Assumptions!B7</f>
        <v>0.21876397644022902</v>
      </c>
      <c r="F7" s="10">
        <f>Assumptions!B7</f>
        <v>0.21876397644022902</v>
      </c>
    </row>
    <row r="8" spans="1:6" x14ac:dyDescent="0.25">
      <c r="A8" t="s">
        <v>44</v>
      </c>
      <c r="B8" s="18">
        <f>B6*B7</f>
        <v>1780055153.0643017</v>
      </c>
      <c r="C8" s="18">
        <f>C6*C7</f>
        <v>2010003671.2150464</v>
      </c>
      <c r="D8" s="18">
        <f>D6*D7</f>
        <v>2269657067.2785335</v>
      </c>
      <c r="E8" s="18">
        <f>E6*E7</f>
        <v>2562852633.9623094</v>
      </c>
      <c r="F8" s="18">
        <f>F6*F7</f>
        <v>2893923367.5875373</v>
      </c>
    </row>
    <row r="9" spans="1:6" x14ac:dyDescent="0.25">
      <c r="A9" t="s">
        <v>45</v>
      </c>
      <c r="B9" s="18">
        <f>B8*(1-Assumptions!B8)</f>
        <v>1424937193.3527486</v>
      </c>
      <c r="C9" s="18">
        <f>C8*(1-Assumptions!B8)</f>
        <v>1609011375.2708127</v>
      </c>
      <c r="D9" s="18">
        <f>D8*(1-Assumptions!B8)</f>
        <v>1816864362.743864</v>
      </c>
      <c r="E9" s="18">
        <f>E8*(1-Assumptions!B8)</f>
        <v>2051567915.1448367</v>
      </c>
      <c r="F9" s="18">
        <f>F8*(1-Assumptions!B8)</f>
        <v>2316590603.4368587</v>
      </c>
    </row>
    <row r="10" spans="1:6" x14ac:dyDescent="0.25">
      <c r="A10" t="s">
        <v>46</v>
      </c>
      <c r="B10" s="18">
        <f>B6*Assumptions!B9</f>
        <v>227174082.867145</v>
      </c>
      <c r="C10" s="18">
        <f>C6*Assumptions!B9</f>
        <v>256520557.68149444</v>
      </c>
      <c r="D10" s="18">
        <f>D6*Assumptions!B9</f>
        <v>289658026.49110913</v>
      </c>
      <c r="E10" s="18">
        <f>E6*Assumptions!B9</f>
        <v>327076212.0161133</v>
      </c>
      <c r="F10" s="18">
        <f>F6*Assumptions!B9</f>
        <v>369328099.6309389</v>
      </c>
    </row>
    <row r="11" spans="1:6" x14ac:dyDescent="0.25">
      <c r="A11" t="s">
        <v>47</v>
      </c>
      <c r="B11" s="18">
        <f>-B6*Assumptions!B10</f>
        <v>-227174082.867145</v>
      </c>
      <c r="C11" s="18">
        <f>-C6*Assumptions!B10</f>
        <v>-256520557.68149444</v>
      </c>
      <c r="D11" s="18">
        <f>-D6*Assumptions!B10</f>
        <v>-289658026.49110913</v>
      </c>
      <c r="E11" s="18">
        <f>-E6*Assumptions!B10</f>
        <v>-327076212.0161133</v>
      </c>
      <c r="F11" s="18">
        <f>-F6*Assumptions!B10</f>
        <v>-369328099.6309389</v>
      </c>
    </row>
    <row r="12" spans="1:6" x14ac:dyDescent="0.25">
      <c r="A12" t="s">
        <v>48</v>
      </c>
      <c r="B12" s="18">
        <f>-(B6-Assumptions!B29)*Assumptions!B11</f>
        <v>-672461824.3189335</v>
      </c>
      <c r="C12" s="18">
        <f>-(C6-B6)*Assumptions!B11</f>
        <v>-759330818.0963978</v>
      </c>
      <c r="D12" s="18">
        <f>-(D6-C6)*Assumptions!B11</f>
        <v>-857421596.9730406</v>
      </c>
      <c r="E12" s="18">
        <f>-(E6-D6)*Assumptions!B11</f>
        <v>-968183797.4110364</v>
      </c>
      <c r="F12" s="18">
        <f>-(F6-E6)*Assumptions!B11</f>
        <v>-1093254320.7198083</v>
      </c>
    </row>
    <row r="13" spans="1:6" x14ac:dyDescent="0.25">
      <c r="A13" s="19" t="s">
        <v>49</v>
      </c>
      <c r="B13" s="20">
        <f>B9+B10+B11+B12</f>
        <v>752475369.0338151</v>
      </c>
      <c r="C13" s="20">
        <f>C9+C10+C11+C12</f>
        <v>849680557.174415</v>
      </c>
      <c r="D13" s="20">
        <f>D9+D10+D11+D12</f>
        <v>959442765.7708235</v>
      </c>
      <c r="E13" s="20">
        <f>E9+E10+E11+E12</f>
        <v>1083384117.7338</v>
      </c>
      <c r="F13" s="20">
        <f>F9+F10+F11+F12</f>
        <v>1223336282.7170503</v>
      </c>
    </row>
    <row r="14" spans="1:6" x14ac:dyDescent="0.25">
      <c r="A14" t="s">
        <v>50</v>
      </c>
      <c r="B14" s="21">
        <f>1/(1+Assumptions!$B$26)^(1-0.5*Assumptions!$B$32)</f>
        <v>0.9479056969451268</v>
      </c>
      <c r="C14" s="21">
        <f>1/(1+Assumptions!$B$26)^(2-0.5*Assumptions!$B$32)</f>
        <v>0.8517171656931614</v>
      </c>
      <c r="D14" s="21">
        <f>1/(1+Assumptions!$B$26)^(3-0.5*Assumptions!$B$32)</f>
        <v>0.7652893454214421</v>
      </c>
      <c r="E14" s="21">
        <f>1/(1+Assumptions!$B$26)^(4-0.5*Assumptions!$B$32)</f>
        <v>0.6876317700359363</v>
      </c>
      <c r="F14" s="21">
        <f>1/(1+Assumptions!$B$26)^(5-0.5*Assumptions!$B$32)</f>
        <v>0.617854480781207</v>
      </c>
    </row>
    <row r="15" spans="1:6" x14ac:dyDescent="0.25">
      <c r="A15" s="19" t="s">
        <v>51</v>
      </c>
      <c r="B15" s="20">
        <f>B13*B14</f>
        <v>713275689.1180401</v>
      </c>
      <c r="C15" s="20">
        <f>C13*C14</f>
        <v>723687515.9011788</v>
      </c>
      <c r="D15" s="20">
        <f>D13*D14</f>
        <v>734251326.1860915</v>
      </c>
      <c r="E15" s="20">
        <f>E13*E14</f>
        <v>744969338.5061141</v>
      </c>
      <c r="F15" s="20">
        <f>F13*F14</f>
        <v>755843803.778955</v>
      </c>
    </row>
    <row r="17" spans="1:2" x14ac:dyDescent="0.25">
      <c r="A17" s="22" t="s">
        <v>52</v>
      </c>
      <c r="B17" s="23">
        <f>SUM(B15:F15)</f>
        <v>3672027673.4903793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1223336282.7170503</v>
      </c>
    </row>
    <row r="5" spans="1:2" x14ac:dyDescent="0.25">
      <c r="A5" t="s">
        <v>56</v>
      </c>
      <c r="B5" s="18">
        <f>IF(Assumptions!$B$33=0,B4,B4-Forecast!F11-Forecast!F10-Forecast!F12)</f>
        <v>2316590603.4368587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0.11004234806965518</v>
      </c>
    </row>
    <row r="7" spans="1:2" x14ac:dyDescent="0.25">
      <c r="A7" t="s">
        <v>58</v>
      </c>
      <c r="B7" s="18">
        <f>-MAX(Forecast!F9,0)*B6</f>
        <v>-254923069.51829132</v>
      </c>
    </row>
    <row r="8" spans="1:2" x14ac:dyDescent="0.25">
      <c r="A8" t="s">
        <v>59</v>
      </c>
      <c r="B8" s="18">
        <f>IF(OR(Assumptions!$B$33=0,Assumptions!B12&lt;=0),B5,MAX(B5+B7,0))</f>
        <v>2061667533.9185674</v>
      </c>
    </row>
    <row r="9" spans="1:2" x14ac:dyDescent="0.25">
      <c r="A9" t="s">
        <v>60</v>
      </c>
      <c r="B9" s="18">
        <f>B8*(1+Assumptions!B12)/(Assumptions!B26-Assumptions!B12)</f>
        <v>24031538816.802174</v>
      </c>
    </row>
    <row r="10" spans="1:2" x14ac:dyDescent="0.25">
      <c r="A10" t="s">
        <v>61</v>
      </c>
      <c r="B10" s="18">
        <f>B9/(1+Assumptions!B26)^(5-0.5*Assumptions!B32)</f>
        <v>14847993938.028728</v>
      </c>
    </row>
    <row r="11" spans="1:2" x14ac:dyDescent="0.25">
      <c r="A11" t="s">
        <v>62</v>
      </c>
      <c r="B11" s="18">
        <f>Forecast!B17+B10</f>
        <v>18520021611.519108</v>
      </c>
    </row>
    <row r="12" spans="1:2" x14ac:dyDescent="0.25">
      <c r="A12" t="s">
        <v>63</v>
      </c>
      <c r="B12" s="18">
        <f>-Assumptions!B30</f>
        <v>-137000000</v>
      </c>
    </row>
    <row r="13" spans="1:2" x14ac:dyDescent="0.25">
      <c r="A13" t="s">
        <v>64</v>
      </c>
      <c r="B13" s="18">
        <f>B11+B12</f>
        <v>18383021611.519108</v>
      </c>
    </row>
    <row r="14" spans="1:2" x14ac:dyDescent="0.25">
      <c r="A14" s="19" t="s">
        <v>65</v>
      </c>
      <c r="B14" s="24">
        <f>B13/Assumptions!B31</f>
        <v>85.50242610008887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3263251467.2184763</v>
      </c>
    </row>
    <row r="18" spans="1:2" x14ac:dyDescent="0.25">
      <c r="A18" t="s">
        <v>60</v>
      </c>
      <c r="B18" s="18">
        <f>B17*Assumptions!B13</f>
        <v>65265029344.36952</v>
      </c>
    </row>
    <row r="19" spans="1:2" x14ac:dyDescent="0.25">
      <c r="A19" t="s">
        <v>61</v>
      </c>
      <c r="B19" s="18">
        <f>B18/(1+Assumptions!B26)^(5-0.5*Assumptions!B32)</f>
        <v>40324290818.735664</v>
      </c>
    </row>
    <row r="20" spans="1:2" x14ac:dyDescent="0.25">
      <c r="A20" t="s">
        <v>62</v>
      </c>
      <c r="B20" s="18">
        <f>Forecast!B17+B19</f>
        <v>43996318492.22604</v>
      </c>
    </row>
    <row r="21" spans="1:2" x14ac:dyDescent="0.25">
      <c r="A21" t="s">
        <v>63</v>
      </c>
      <c r="B21" s="18">
        <f>-Assumptions!B30</f>
        <v>-137000000</v>
      </c>
    </row>
    <row r="22" spans="1:2" x14ac:dyDescent="0.25">
      <c r="A22" t="s">
        <v>64</v>
      </c>
      <c r="B22" s="18">
        <f>B20+B21</f>
        <v>43859318492.22604</v>
      </c>
    </row>
    <row r="23" spans="1:2" x14ac:dyDescent="0.25">
      <c r="A23" s="19" t="s">
        <v>65</v>
      </c>
      <c r="B23" s="25">
        <f>B22/Assumptions!B31</f>
        <v>203.9968301964002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216.95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85.50242610008887</v>
      </c>
    </row>
    <row r="29" spans="1:2" x14ac:dyDescent="0.25">
      <c r="A29" s="19" t="s">
        <v>73</v>
      </c>
      <c r="B29" s="12">
        <f>B28/B26-1</f>
        <v>-0.6058887941918005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0.092935</v>
      </c>
      <c r="B5" s="31">
        <v>105.11212592655941</v>
      </c>
      <c r="C5" s="31">
        <v>109.37471988242109</v>
      </c>
      <c r="D5" s="31">
        <v>114.24136475903828</v>
      </c>
      <c r="E5" s="31">
        <v>119.85603074488043</v>
      </c>
      <c r="F5" s="31">
        <v>126.41238861993163</v>
      </c>
    </row>
    <row r="6" spans="1:6" x14ac:dyDescent="0.25">
      <c r="A6" s="30">
        <v>0.102935</v>
      </c>
      <c r="B6" s="31">
        <v>91.58160419495186</v>
      </c>
      <c r="C6" s="31">
        <v>94.60149769288007</v>
      </c>
      <c r="D6" s="31">
        <v>97.98930079613989</v>
      </c>
      <c r="E6" s="31">
        <v>101.82067874199704</v>
      </c>
      <c r="F6" s="31">
        <v>106.19357254228579</v>
      </c>
    </row>
    <row r="7" spans="1:6" x14ac:dyDescent="0.25">
      <c r="A7" s="30">
        <v>0.112935</v>
      </c>
      <c r="B7" s="31">
        <v>80.88263128365107</v>
      </c>
      <c r="C7" s="31">
        <v>83.07604653350539</v>
      </c>
      <c r="D7" s="32">
        <v>85.50223584799195</v>
      </c>
      <c r="E7" s="31">
        <v>88.20329979948058</v>
      </c>
      <c r="F7" s="31">
        <v>91.23214298224889</v>
      </c>
    </row>
    <row r="8" spans="1:6" x14ac:dyDescent="0.25">
      <c r="A8" s="30">
        <v>0.122935</v>
      </c>
      <c r="B8" s="31">
        <v>72.22474968726512</v>
      </c>
      <c r="C8" s="31">
        <v>73.84838370305602</v>
      </c>
      <c r="D8" s="31">
        <v>75.62343428253374</v>
      </c>
      <c r="E8" s="31">
        <v>77.57434053319601</v>
      </c>
      <c r="F8" s="31">
        <v>79.73110001082574</v>
      </c>
    </row>
    <row r="9" spans="1:6" x14ac:dyDescent="0.25">
      <c r="A9" s="30">
        <v>0.132935</v>
      </c>
      <c r="B9" s="31">
        <v>65.08580256956309</v>
      </c>
      <c r="C9" s="31">
        <v>66.30519699280583</v>
      </c>
      <c r="D9" s="31">
        <v>67.6250373157181</v>
      </c>
      <c r="E9" s="31">
        <v>69.05996081906004</v>
      </c>
      <c r="F9" s="31">
        <v>70.62759396636811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7206000000</v>
      </c>
      <c r="C5" s="18">
        <v>6131000000</v>
      </c>
      <c r="D5" s="18">
        <v>5497000000</v>
      </c>
      <c r="E5" s="18">
        <v>5005000000</v>
      </c>
      <c r="F5" s="8" t="s">
        <v>84</v>
      </c>
    </row>
    <row r="6" spans="1:6" x14ac:dyDescent="0.25">
      <c r="A6" t="s">
        <v>44</v>
      </c>
      <c r="B6" s="18">
        <v>1794000000</v>
      </c>
      <c r="C6" s="18">
        <v>1369000000</v>
      </c>
      <c r="D6" s="18">
        <v>1128000000</v>
      </c>
      <c r="E6" s="18">
        <v>989000000</v>
      </c>
      <c r="F6" s="8" t="s">
        <v>85</v>
      </c>
    </row>
    <row r="7" spans="1:6" x14ac:dyDescent="0.25">
      <c r="A7" t="s">
        <v>86</v>
      </c>
      <c r="B7" s="18">
        <v>195000000</v>
      </c>
      <c r="C7" s="18">
        <v>180000000</v>
      </c>
      <c r="D7" s="18">
        <v>139000000</v>
      </c>
      <c r="E7" s="18">
        <v>150000000</v>
      </c>
      <c r="F7" s="8" t="s">
        <v>87</v>
      </c>
    </row>
    <row r="8" spans="1:6" x14ac:dyDescent="0.25">
      <c r="A8" t="s">
        <v>88</v>
      </c>
      <c r="B8" s="18">
        <v>76000000</v>
      </c>
      <c r="C8" s="18">
        <v>102000000</v>
      </c>
      <c r="D8" s="18">
        <v>61000000</v>
      </c>
      <c r="E8" s="18">
        <v>46000000</v>
      </c>
      <c r="F8" s="8" t="s">
        <v>89</v>
      </c>
    </row>
    <row r="9" spans="1:6" x14ac:dyDescent="0.25">
      <c r="A9" t="s">
        <v>90</v>
      </c>
      <c r="B9" s="18">
        <v>501000000</v>
      </c>
      <c r="C9" s="18">
        <v>458000000</v>
      </c>
      <c r="D9" s="18">
        <v>451000000</v>
      </c>
      <c r="E9" s="18">
        <v>-554000000</v>
      </c>
      <c r="F9" s="8" t="s">
        <v>91</v>
      </c>
    </row>
    <row r="10" spans="1:6" x14ac:dyDescent="0.25">
      <c r="A10" t="s">
        <v>92</v>
      </c>
      <c r="B10" s="18">
        <v>2734000000</v>
      </c>
      <c r="C10" s="18">
        <v>2559000000</v>
      </c>
      <c r="D10" s="18">
        <v>2626000000</v>
      </c>
      <c r="E10" s="18">
        <v>2666000000</v>
      </c>
      <c r="F10" s="8" t="s">
        <v>93</v>
      </c>
    </row>
    <row r="11" spans="1:6" x14ac:dyDescent="0.25">
      <c r="A11" t="s">
        <v>94</v>
      </c>
      <c r="B11" s="18">
        <v>2597000000</v>
      </c>
      <c r="C11" s="18">
        <v>1886000000</v>
      </c>
      <c r="D11" s="18">
        <v>2246000000</v>
      </c>
      <c r="E11" s="18">
        <v>2072000000</v>
      </c>
      <c r="F11" s="8" t="s">
        <v>95</v>
      </c>
    </row>
    <row r="12" spans="1:6" x14ac:dyDescent="0.25">
      <c r="A12" t="s">
        <v>32</v>
      </c>
      <c r="B12" s="34">
        <v>215000000</v>
      </c>
      <c r="C12" s="34">
        <v>217000000</v>
      </c>
      <c r="D12" s="34">
        <v>216000000</v>
      </c>
      <c r="E12" s="34">
        <v>218000000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2026-09-19T01:05:14Z</dcterms:modified>
</cp:coreProperties>
</file>